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enstfahrten" sheetId="1" state="visible" r:id="rId1"/>
    <sheet xmlns:r="http://schemas.openxmlformats.org/officeDocument/2006/relationships" name="Auswertung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.MM.YYYY"/>
    <numFmt numFmtId="166" formatCode="#.##0,0 &quot;km&quot;"/>
    <numFmt numFmtId="167" formatCode="#.##0,00 &quot;€&quot;"/>
    <numFmt numFmtId="168" formatCode="0,0%"/>
  </numFmts>
  <fonts count="6">
    <font>
      <name val="Calibri"/>
      <family val="2"/>
      <color theme="1"/>
      <sz val="11"/>
      <scheme val="minor"/>
    </font>
    <font>
      <b val="1"/>
      <color rgb="001E293B"/>
      <sz val="14"/>
    </font>
    <font>
      <b val="1"/>
      <color rgb="00FFFFFF"/>
      <sz val="11"/>
    </font>
    <font>
      <b val="1"/>
      <color rgb="001E293B"/>
    </font>
    <font>
      <i val="1"/>
      <color rgb="006B7280"/>
      <sz val="9"/>
    </font>
    <font>
      <b val="1"/>
      <color rgb="00C8102E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/>
    </xf>
    <xf numFmtId="165" fontId="0" fillId="3" borderId="1" applyAlignment="1" pivotButton="0" quotePrefix="0" xfId="0">
      <alignment horizontal="center" vertical="center"/>
    </xf>
    <xf numFmtId="166" fontId="0" fillId="3" borderId="1" applyAlignment="1" pivotButton="0" quotePrefix="0" xfId="0">
      <alignment horizontal="right" vertical="center"/>
    </xf>
    <xf numFmtId="0" fontId="0" fillId="4" borderId="1" applyAlignment="1" pivotButton="0" quotePrefix="0" xfId="0">
      <alignment horizontal="center" vertical="center"/>
    </xf>
    <xf numFmtId="166" fontId="0" fillId="4" borderId="1" applyAlignment="1" pivotButton="0" quotePrefix="0" xfId="0">
      <alignment horizontal="right" vertical="center"/>
    </xf>
    <xf numFmtId="167" fontId="0" fillId="4" borderId="1" applyAlignment="1" pivotButton="0" quotePrefix="0" xfId="0">
      <alignment horizontal="right" vertical="center"/>
    </xf>
    <xf numFmtId="167" fontId="0" fillId="3" borderId="1" applyAlignment="1" pivotButton="0" quotePrefix="0" xfId="0">
      <alignment horizontal="right" vertical="center"/>
    </xf>
    <xf numFmtId="0" fontId="0" fillId="3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166" fontId="0" fillId="5" borderId="1" applyAlignment="1" pivotButton="0" quotePrefix="0" xfId="0">
      <alignment horizontal="right" vertical="center"/>
    </xf>
    <xf numFmtId="167" fontId="0" fillId="5" borderId="1" applyAlignment="1" pivotButton="0" quotePrefix="0" xfId="0">
      <alignment horizontal="right" vertical="center"/>
    </xf>
    <xf numFmtId="0" fontId="3" fillId="0" borderId="0" pivotButton="0" quotePrefix="0" xfId="0"/>
    <xf numFmtId="166" fontId="3" fillId="0" borderId="1" applyAlignment="1" pivotButton="0" quotePrefix="0" xfId="0">
      <alignment horizontal="right" vertical="center"/>
    </xf>
    <xf numFmtId="167" fontId="3" fillId="0" borderId="1" applyAlignment="1" pivotButton="0" quotePrefix="0" xfId="0">
      <alignment horizontal="right" vertical="center"/>
    </xf>
    <xf numFmtId="0" fontId="2" fillId="2" borderId="1" applyAlignment="1" pivotButton="0" quotePrefix="0" xfId="0">
      <alignment horizontal="left" vertical="center"/>
    </xf>
    <xf numFmtId="0" fontId="2" fillId="2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0" fillId="4" borderId="1" pivotButton="0" quotePrefix="0" xfId="0"/>
    <xf numFmtId="167" fontId="0" fillId="3" borderId="1" pivotButton="0" quotePrefix="0" xfId="0"/>
    <xf numFmtId="0" fontId="0" fillId="5" borderId="1" pivotButton="0" quotePrefix="0" xfId="0"/>
    <xf numFmtId="0" fontId="0" fillId="4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right" vertical="center"/>
    </xf>
    <xf numFmtId="168" fontId="0" fillId="4" borderId="1" applyAlignment="1" pivotButton="0" quotePrefix="0" xfId="0">
      <alignment horizontal="right" vertical="center"/>
    </xf>
    <xf numFmtId="0" fontId="2" fillId="6" borderId="0" pivotButton="0" quotePrefix="0" xfId="0"/>
    <xf numFmtId="0" fontId="4" fillId="0" borderId="0" pivotButton="0" quotePrefix="0" xfId="0"/>
    <xf numFmtId="0" fontId="2" fillId="2" borderId="1" pivotButton="0" quotePrefix="0" xfId="0"/>
    <xf numFmtId="0" fontId="0" fillId="0" borderId="1" pivotButton="0" quotePrefix="0" xfId="0"/>
    <xf numFmtId="167" fontId="0" fillId="0" borderId="1" pivotButton="0" quotePrefix="0" xfId="0"/>
    <xf numFmtId="166" fontId="0" fillId="0" borderId="1" pivotButton="0" quotePrefix="0" xfId="0"/>
    <xf numFmtId="0" fontId="2" fillId="2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Erstattungsbetrag je Mitarbeitenden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'Auswertung'!B18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'Auswertung'!$A$19:$A$28</f>
            </numRef>
          </cat>
          <val>
            <numRef>
              <f>'Auswertung'!$B$19:$B$28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Mitarbeitende/r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Betrag in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Fahrten nach Status</a:t>
            </a:r>
          </a:p>
        </rich>
      </tx>
    </title>
    <plotArea>
      <pieChart>
        <varyColors val="1"/>
        <ser>
          <idx val="0"/>
          <order val="0"/>
          <tx>
            <strRef>
              <f>'Auswertung'!B31</f>
            </strRef>
          </tx>
          <spPr>
            <a:ln xmlns:a="http://schemas.openxmlformats.org/drawingml/2006/main">
              <a:prstDash val="solid"/>
            </a:ln>
          </spPr>
          <cat>
            <numRef>
              <f>'Auswertung'!$A$32:$A$34</f>
            </numRef>
          </cat>
          <val>
            <numRef>
              <f>'Auswertung'!$B$32:$B$34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Gesamtkilometer je Zielort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'Auswertung'!B37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'Auswertung'!$A$38:$A$47</f>
            </numRef>
          </cat>
          <val>
            <numRef>
              <f>'Auswertung'!$B$38:$B$47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16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32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13</col>
      <colOff>0</colOff>
      <row>16</row>
      <rowOff>0</rowOff>
    </from>
    <ext cx="720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9" customWidth="1" min="1" max="1"/>
    <col width="12" customWidth="1" min="2" max="2"/>
    <col width="20" customWidth="1" min="3" max="3"/>
    <col width="18" customWidth="1" min="4" max="4"/>
    <col width="14" customWidth="1" min="5" max="5"/>
    <col width="14" customWidth="1" min="6" max="6"/>
    <col width="20" customWidth="1" min="7" max="7"/>
    <col width="14" customWidth="1" min="8" max="8"/>
    <col width="12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2" customWidth="1" min="17" max="17"/>
    <col width="14" customWidth="1" min="18" max="18"/>
    <col width="16" customWidth="1" min="19" max="19"/>
    <col width="12" customWidth="1" min="20" max="20"/>
    <col width="30" customWidth="1" min="21" max="21"/>
  </cols>
  <sheetData>
    <row r="1">
      <c r="A1" s="1" t="inlineStr">
        <is>
          <t>Dienstfahrten mit Privat-Pkw – Abrechnung 2026</t>
        </is>
      </c>
    </row>
    <row r="2" ht="42" customHeight="1">
      <c r="A2" s="2" t="inlineStr">
        <is>
          <t>Fahrt-ID</t>
        </is>
      </c>
      <c r="B2" s="2" t="inlineStr">
        <is>
          <t>Datum</t>
        </is>
      </c>
      <c r="C2" s="2" t="inlineStr">
        <is>
          <t>Mitarbeitende/r</t>
        </is>
      </c>
      <c r="D2" s="2" t="inlineStr">
        <is>
          <t>Kostenstelle</t>
        </is>
      </c>
      <c r="E2" s="2" t="inlineStr">
        <is>
          <t>Startort</t>
        </is>
      </c>
      <c r="F2" s="2" t="inlineStr">
        <is>
          <t>Zielort</t>
        </is>
      </c>
      <c r="G2" s="2" t="inlineStr">
        <is>
          <t>Anlass</t>
        </is>
      </c>
      <c r="H2" s="2" t="inlineStr">
        <is>
          <t>Kilometer einfache Strecke</t>
        </is>
      </c>
      <c r="I2" s="2" t="inlineStr">
        <is>
          <t>Hin- und Rückfahrt</t>
        </is>
      </c>
      <c r="J2" s="2" t="inlineStr">
        <is>
          <t>Gesamtkilometer</t>
        </is>
      </c>
      <c r="K2" s="2" t="inlineStr">
        <is>
          <t>Erstattungssatz je km</t>
        </is>
      </c>
      <c r="L2" s="2" t="inlineStr">
        <is>
          <t>Erstattungsbetrag</t>
        </is>
      </c>
      <c r="M2" s="2" t="inlineStr">
        <is>
          <t>Parkgebühren netto</t>
        </is>
      </c>
      <c r="N2" s="2" t="inlineStr">
        <is>
          <t>Sonstige Kosten netto</t>
        </is>
      </c>
      <c r="O2" s="2" t="inlineStr">
        <is>
          <t>Umsatzsteuer auf Nebenkosten</t>
        </is>
      </c>
      <c r="P2" s="2" t="inlineStr">
        <is>
          <t>Gesamtbetrag</t>
        </is>
      </c>
      <c r="Q2" s="2" t="inlineStr">
        <is>
          <t>Vorschuss</t>
        </is>
      </c>
      <c r="R2" s="2" t="inlineStr">
        <is>
          <t>Auszahlungsbetrag</t>
        </is>
      </c>
      <c r="S2" s="2" t="inlineStr">
        <is>
          <t>Genehmigt durch</t>
        </is>
      </c>
      <c r="T2" s="2" t="inlineStr">
        <is>
          <t>Status</t>
        </is>
      </c>
      <c r="U2" s="2" t="inlineStr">
        <is>
          <t>Bemerkung</t>
        </is>
      </c>
    </row>
    <row r="3">
      <c r="A3" s="3" t="n">
        <v>1</v>
      </c>
      <c r="B3" s="4" t="n">
        <v>46030</v>
      </c>
      <c r="C3" s="3" t="inlineStr">
        <is>
          <t>Anna Müller</t>
        </is>
      </c>
      <c r="D3" s="3" t="inlineStr">
        <is>
          <t>KST-110 Vertrieb</t>
        </is>
      </c>
      <c r="E3" s="3" t="inlineStr">
        <is>
          <t>Berlin</t>
        </is>
      </c>
      <c r="F3" s="3" t="inlineStr">
        <is>
          <t>Potsdam</t>
        </is>
      </c>
      <c r="G3" s="3" t="inlineStr">
        <is>
          <t>Kundentermin</t>
        </is>
      </c>
      <c r="H3" s="5" t="n">
        <v>42</v>
      </c>
      <c r="I3" s="6">
        <f>IF(H3&gt;0,"Ja","Nein")</f>
        <v/>
      </c>
      <c r="J3" s="7">
        <f>IF(I3="Ja",H3*2,H3)</f>
        <v/>
      </c>
      <c r="K3" s="8">
        <f>IFERROR(VLOOKUP(C3,Auswertung!$J$5:$K$14,2,FALSE),0.3)</f>
        <v/>
      </c>
      <c r="L3" s="8">
        <f>J3*K3</f>
        <v/>
      </c>
      <c r="M3" s="9" t="n">
        <v>3.5</v>
      </c>
      <c r="N3" s="9" t="n">
        <v>0</v>
      </c>
      <c r="O3" s="8">
        <f>(M3+N3)*0.19</f>
        <v/>
      </c>
      <c r="P3" s="8">
        <f>L3+M3+N3+O3</f>
        <v/>
      </c>
      <c r="Q3" s="9" t="n">
        <v>0</v>
      </c>
      <c r="R3" s="8">
        <f>P3-Q3</f>
        <v/>
      </c>
      <c r="S3" s="3" t="inlineStr">
        <is>
          <t>Thomas Berger</t>
        </is>
      </c>
      <c r="T3" s="10" t="inlineStr">
        <is>
          <t>Ausgezahlt</t>
        </is>
      </c>
      <c r="U3" s="3" t="inlineStr">
        <is>
          <t>Beleg Parkhaus vorhanden</t>
        </is>
      </c>
    </row>
    <row r="4">
      <c r="A4" s="3" t="n">
        <v>2</v>
      </c>
      <c r="B4" s="4" t="n">
        <v>46037</v>
      </c>
      <c r="C4" s="3" t="inlineStr">
        <is>
          <t>Lukas Schneider</t>
        </is>
      </c>
      <c r="D4" s="3" t="inlineStr">
        <is>
          <t>KST-120 Projekte</t>
        </is>
      </c>
      <c r="E4" s="3" t="inlineStr">
        <is>
          <t>München</t>
        </is>
      </c>
      <c r="F4" s="3" t="inlineStr">
        <is>
          <t>Augsburg</t>
        </is>
      </c>
      <c r="G4" s="3" t="inlineStr">
        <is>
          <t>Projektbesprechung</t>
        </is>
      </c>
      <c r="H4" s="5" t="n">
        <v>68</v>
      </c>
      <c r="I4" s="11">
        <f>IF(H4&gt;0,"Ja","Nein")</f>
        <v/>
      </c>
      <c r="J4" s="12">
        <f>IF(I4="Ja",H4*2,H4)</f>
        <v/>
      </c>
      <c r="K4" s="13">
        <f>IFERROR(VLOOKUP(C4,Auswertung!$J$5:$K$14,2,FALSE),0.3)</f>
        <v/>
      </c>
      <c r="L4" s="13">
        <f>J4*K4</f>
        <v/>
      </c>
      <c r="M4" s="9" t="n">
        <v>0</v>
      </c>
      <c r="N4" s="9" t="n">
        <v>12</v>
      </c>
      <c r="O4" s="13">
        <f>(M4+N4)*0.19</f>
        <v/>
      </c>
      <c r="P4" s="13">
        <f>L4+M4+N4+O4</f>
        <v/>
      </c>
      <c r="Q4" s="9" t="n">
        <v>0</v>
      </c>
      <c r="R4" s="13">
        <f>P4-Q4</f>
        <v/>
      </c>
      <c r="S4" s="3" t="inlineStr">
        <is>
          <t>Sabine Krüger</t>
        </is>
      </c>
      <c r="T4" s="10" t="inlineStr">
        <is>
          <t>Ausgezahlt</t>
        </is>
      </c>
      <c r="U4" s="3" t="inlineStr">
        <is>
          <t>Mautersatz nicht anwendbar</t>
        </is>
      </c>
    </row>
    <row r="5">
      <c r="A5" s="3" t="n">
        <v>3</v>
      </c>
      <c r="B5" s="4" t="n">
        <v>46044</v>
      </c>
      <c r="C5" s="3" t="inlineStr">
        <is>
          <t>Julia Weber</t>
        </is>
      </c>
      <c r="D5" s="3" t="inlineStr">
        <is>
          <t>KST-130 Einkauf</t>
        </is>
      </c>
      <c r="E5" s="3" t="inlineStr">
        <is>
          <t>Hamburg</t>
        </is>
      </c>
      <c r="F5" s="3" t="inlineStr">
        <is>
          <t>Lübeck</t>
        </is>
      </c>
      <c r="G5" s="3" t="inlineStr">
        <is>
          <t>Lieferantenbesuch</t>
        </is>
      </c>
      <c r="H5" s="5" t="n">
        <v>64</v>
      </c>
      <c r="I5" s="6">
        <f>IF(H5&gt;0,"Ja","Nein")</f>
        <v/>
      </c>
      <c r="J5" s="7">
        <f>IF(I5="Ja",H5*2,H5)</f>
        <v/>
      </c>
      <c r="K5" s="8">
        <f>IFERROR(VLOOKUP(C5,Auswertung!$J$5:$K$14,2,FALSE),0.3)</f>
        <v/>
      </c>
      <c r="L5" s="8">
        <f>J5*K5</f>
        <v/>
      </c>
      <c r="M5" s="9" t="n">
        <v>4.2</v>
      </c>
      <c r="N5" s="9" t="n">
        <v>0</v>
      </c>
      <c r="O5" s="8">
        <f>(M5+N5)*0.19</f>
        <v/>
      </c>
      <c r="P5" s="8">
        <f>L5+M5+N5+O5</f>
        <v/>
      </c>
      <c r="Q5" s="9" t="n">
        <v>0</v>
      </c>
      <c r="R5" s="8">
        <f>P5-Q5</f>
        <v/>
      </c>
      <c r="S5" s="3" t="inlineStr">
        <is>
          <t>Thomas Berger</t>
        </is>
      </c>
      <c r="T5" s="10" t="inlineStr">
        <is>
          <t>Geprüft</t>
        </is>
      </c>
      <c r="U5" s="3" t="inlineStr"/>
    </row>
    <row r="6">
      <c r="A6" s="3" t="n">
        <v>4</v>
      </c>
      <c r="B6" s="4" t="n">
        <v>46056</v>
      </c>
      <c r="C6" s="3" t="inlineStr">
        <is>
          <t>Maximilian Fischer</t>
        </is>
      </c>
      <c r="D6" s="3" t="inlineStr">
        <is>
          <t>KST-140 Personal</t>
        </is>
      </c>
      <c r="E6" s="3" t="inlineStr">
        <is>
          <t>Köln</t>
        </is>
      </c>
      <c r="F6" s="3" t="inlineStr">
        <is>
          <t>Bonn</t>
        </is>
      </c>
      <c r="G6" s="3" t="inlineStr">
        <is>
          <t>Schulung</t>
        </is>
      </c>
      <c r="H6" s="5" t="n">
        <v>31</v>
      </c>
      <c r="I6" s="11">
        <f>IF(H6&gt;0,"Ja","Nein")</f>
        <v/>
      </c>
      <c r="J6" s="12">
        <f>IF(I6="Ja",H6*2,H6)</f>
        <v/>
      </c>
      <c r="K6" s="13">
        <f>IFERROR(VLOOKUP(C6,Auswertung!$J$5:$K$14,2,FALSE),0.3)</f>
        <v/>
      </c>
      <c r="L6" s="13">
        <f>J6*K6</f>
        <v/>
      </c>
      <c r="M6" s="9" t="n">
        <v>0</v>
      </c>
      <c r="N6" s="9" t="n">
        <v>0</v>
      </c>
      <c r="O6" s="13">
        <f>(M6+N6)*0.19</f>
        <v/>
      </c>
      <c r="P6" s="13">
        <f>L6+M6+N6+O6</f>
        <v/>
      </c>
      <c r="Q6" s="9" t="n">
        <v>0</v>
      </c>
      <c r="R6" s="13">
        <f>P6-Q6</f>
        <v/>
      </c>
      <c r="S6" s="3" t="inlineStr">
        <is>
          <t>Sabine Krüger</t>
        </is>
      </c>
      <c r="T6" s="10" t="inlineStr">
        <is>
          <t>Geprüft</t>
        </is>
      </c>
      <c r="U6" s="3" t="inlineStr">
        <is>
          <t>Schulungsnachweis anbei</t>
        </is>
      </c>
    </row>
    <row r="7">
      <c r="A7" s="3" t="n">
        <v>5</v>
      </c>
      <c r="B7" s="4" t="n">
        <v>46064</v>
      </c>
      <c r="C7" s="3" t="inlineStr">
        <is>
          <t>Sophie Wagner</t>
        </is>
      </c>
      <c r="D7" s="3" t="inlineStr">
        <is>
          <t>KST-110 Vertrieb</t>
        </is>
      </c>
      <c r="E7" s="3" t="inlineStr">
        <is>
          <t>Frankfurt</t>
        </is>
      </c>
      <c r="F7" s="3" t="inlineStr">
        <is>
          <t>Darmstadt</t>
        </is>
      </c>
      <c r="G7" s="3" t="inlineStr">
        <is>
          <t>Außendienst</t>
        </is>
      </c>
      <c r="H7" s="5" t="n">
        <v>35</v>
      </c>
      <c r="I7" s="6">
        <f>IF(H7&gt;0,"Ja","Nein")</f>
        <v/>
      </c>
      <c r="J7" s="7">
        <f>IF(I7="Ja",H7*2,H7)</f>
        <v/>
      </c>
      <c r="K7" s="8">
        <f>IFERROR(VLOOKUP(C7,Auswertung!$J$5:$K$14,2,FALSE),0.3)</f>
        <v/>
      </c>
      <c r="L7" s="8">
        <f>J7*K7</f>
        <v/>
      </c>
      <c r="M7" s="9" t="n">
        <v>2.8</v>
      </c>
      <c r="N7" s="9" t="n">
        <v>0</v>
      </c>
      <c r="O7" s="8">
        <f>(M7+N7)*0.19</f>
        <v/>
      </c>
      <c r="P7" s="8">
        <f>L7+M7+N7+O7</f>
        <v/>
      </c>
      <c r="Q7" s="9" t="n">
        <v>0</v>
      </c>
      <c r="R7" s="8">
        <f>P7-Q7</f>
        <v/>
      </c>
      <c r="S7" s="3" t="inlineStr">
        <is>
          <t>Thomas Berger</t>
        </is>
      </c>
      <c r="T7" s="10" t="inlineStr">
        <is>
          <t>Offen</t>
        </is>
      </c>
      <c r="U7" s="3" t="inlineStr">
        <is>
          <t>Beleg fehlt noch</t>
        </is>
      </c>
    </row>
    <row r="8">
      <c r="A8" s="3" t="n">
        <v>6</v>
      </c>
      <c r="B8" s="4" t="n">
        <v>46072</v>
      </c>
      <c r="C8" s="3" t="inlineStr">
        <is>
          <t>Felix Becker</t>
        </is>
      </c>
      <c r="D8" s="3" t="inlineStr">
        <is>
          <t>KST-150 Qualität</t>
        </is>
      </c>
      <c r="E8" s="3" t="inlineStr">
        <is>
          <t>Stuttgart</t>
        </is>
      </c>
      <c r="F8" s="3" t="inlineStr">
        <is>
          <t>Tübingen</t>
        </is>
      </c>
      <c r="G8" s="3" t="inlineStr">
        <is>
          <t>Kundenaudit</t>
        </is>
      </c>
      <c r="H8" s="5" t="n">
        <v>42</v>
      </c>
      <c r="I8" s="11">
        <f>IF(H8&gt;0,"Ja","Nein")</f>
        <v/>
      </c>
      <c r="J8" s="12">
        <f>IF(I8="Ja",H8*2,H8)</f>
        <v/>
      </c>
      <c r="K8" s="13">
        <f>IFERROR(VLOOKUP(C8,Auswertung!$J$5:$K$14,2,FALSE),0.3)</f>
        <v/>
      </c>
      <c r="L8" s="13">
        <f>J8*K8</f>
        <v/>
      </c>
      <c r="M8" s="9" t="n">
        <v>0</v>
      </c>
      <c r="N8" s="9" t="n">
        <v>8.5</v>
      </c>
      <c r="O8" s="13">
        <f>(M8+N8)*0.19</f>
        <v/>
      </c>
      <c r="P8" s="13">
        <f>L8+M8+N8+O8</f>
        <v/>
      </c>
      <c r="Q8" s="9" t="n">
        <v>0</v>
      </c>
      <c r="R8" s="13">
        <f>P8-Q8</f>
        <v/>
      </c>
      <c r="S8" s="3" t="inlineStr">
        <is>
          <t>Sabine Krüger</t>
        </is>
      </c>
      <c r="T8" s="10" t="inlineStr">
        <is>
          <t>Geprüft</t>
        </is>
      </c>
      <c r="U8" s="3" t="inlineStr">
        <is>
          <t>Verpflegungsbeleg geprüft</t>
        </is>
      </c>
    </row>
    <row r="9">
      <c r="A9" s="3" t="n">
        <v>7</v>
      </c>
      <c r="B9" s="4" t="n">
        <v>46079</v>
      </c>
      <c r="C9" s="3" t="inlineStr">
        <is>
          <t>Laura Hoffmann</t>
        </is>
      </c>
      <c r="D9" s="3" t="inlineStr">
        <is>
          <t>KST-160 Beratung</t>
        </is>
      </c>
      <c r="E9" s="3" t="inlineStr">
        <is>
          <t>Düsseldorf</t>
        </is>
      </c>
      <c r="F9" s="3" t="inlineStr">
        <is>
          <t>Essen</t>
        </is>
      </c>
      <c r="G9" s="3" t="inlineStr">
        <is>
          <t>Beratungstermin</t>
        </is>
      </c>
      <c r="H9" s="5" t="n">
        <v>38</v>
      </c>
      <c r="I9" s="6">
        <f>IF(H9&gt;0,"Ja","Nein")</f>
        <v/>
      </c>
      <c r="J9" s="7">
        <f>IF(I9="Ja",H9*2,H9)</f>
        <v/>
      </c>
      <c r="K9" s="8">
        <f>IFERROR(VLOOKUP(C9,Auswertung!$J$5:$K$14,2,FALSE),0.3)</f>
        <v/>
      </c>
      <c r="L9" s="8">
        <f>J9*K9</f>
        <v/>
      </c>
      <c r="M9" s="9" t="n">
        <v>5</v>
      </c>
      <c r="N9" s="9" t="n">
        <v>0</v>
      </c>
      <c r="O9" s="8">
        <f>(M9+N9)*0.19</f>
        <v/>
      </c>
      <c r="P9" s="8">
        <f>L9+M9+N9+O9</f>
        <v/>
      </c>
      <c r="Q9" s="9" t="n">
        <v>0</v>
      </c>
      <c r="R9" s="8">
        <f>P9-Q9</f>
        <v/>
      </c>
      <c r="S9" s="3" t="inlineStr">
        <is>
          <t>Thomas Berger</t>
        </is>
      </c>
      <c r="T9" s="10" t="inlineStr">
        <is>
          <t>Ausgezahlt</t>
        </is>
      </c>
      <c r="U9" s="3" t="inlineStr"/>
    </row>
    <row r="10">
      <c r="A10" s="3" t="n">
        <v>8</v>
      </c>
      <c r="B10" s="4" t="n">
        <v>46086</v>
      </c>
      <c r="C10" s="3" t="inlineStr">
        <is>
          <t>Jonas Richter</t>
        </is>
      </c>
      <c r="D10" s="3" t="inlineStr">
        <is>
          <t>KST-120 Projekte</t>
        </is>
      </c>
      <c r="E10" s="3" t="inlineStr">
        <is>
          <t>Leipzig</t>
        </is>
      </c>
      <c r="F10" s="3" t="inlineStr">
        <is>
          <t>Halle</t>
        </is>
      </c>
      <c r="G10" s="3" t="inlineStr">
        <is>
          <t>Projektcontrolling</t>
        </is>
      </c>
      <c r="H10" s="5" t="n">
        <v>43</v>
      </c>
      <c r="I10" s="11">
        <f>IF(H10&gt;0,"Ja","Nein")</f>
        <v/>
      </c>
      <c r="J10" s="12">
        <f>IF(I10="Ja",H10*2,H10)</f>
        <v/>
      </c>
      <c r="K10" s="13">
        <f>IFERROR(VLOOKUP(C10,Auswertung!$J$5:$K$14,2,FALSE),0.3)</f>
        <v/>
      </c>
      <c r="L10" s="13">
        <f>J10*K10</f>
        <v/>
      </c>
      <c r="M10" s="9" t="n">
        <v>0</v>
      </c>
      <c r="N10" s="9" t="n">
        <v>0</v>
      </c>
      <c r="O10" s="13">
        <f>(M10+N10)*0.19</f>
        <v/>
      </c>
      <c r="P10" s="13">
        <f>L10+M10+N10+O10</f>
        <v/>
      </c>
      <c r="Q10" s="9" t="n">
        <v>0</v>
      </c>
      <c r="R10" s="13">
        <f>P10-Q10</f>
        <v/>
      </c>
      <c r="S10" s="3" t="inlineStr">
        <is>
          <t>Sabine Krüger</t>
        </is>
      </c>
      <c r="T10" s="10" t="inlineStr">
        <is>
          <t>Offen</t>
        </is>
      </c>
      <c r="U10" s="3" t="inlineStr"/>
    </row>
    <row r="11">
      <c r="A11" s="3" t="n">
        <v>9</v>
      </c>
      <c r="B11" s="4" t="n">
        <v>46093</v>
      </c>
      <c r="C11" s="3" t="inlineStr">
        <is>
          <t>Marie Klein</t>
        </is>
      </c>
      <c r="D11" s="3" t="inlineStr">
        <is>
          <t>KST-170 Marketing</t>
        </is>
      </c>
      <c r="E11" s="3" t="inlineStr">
        <is>
          <t>Dortmund</t>
        </is>
      </c>
      <c r="F11" s="3" t="inlineStr">
        <is>
          <t>Münster</t>
        </is>
      </c>
      <c r="G11" s="3" t="inlineStr">
        <is>
          <t>Fachmesse</t>
        </is>
      </c>
      <c r="H11" s="5" t="n">
        <v>62</v>
      </c>
      <c r="I11" s="6">
        <f>IF(H11&gt;0,"Ja","Nein")</f>
        <v/>
      </c>
      <c r="J11" s="7">
        <f>IF(I11="Ja",H11*2,H11)</f>
        <v/>
      </c>
      <c r="K11" s="8">
        <f>IFERROR(VLOOKUP(C11,Auswertung!$J$5:$K$14,2,FALSE),0.3)</f>
        <v/>
      </c>
      <c r="L11" s="8">
        <f>J11*K11</f>
        <v/>
      </c>
      <c r="M11" s="9" t="n">
        <v>7.5</v>
      </c>
      <c r="N11" s="9" t="n">
        <v>15</v>
      </c>
      <c r="O11" s="8">
        <f>(M11+N11)*0.19</f>
        <v/>
      </c>
      <c r="P11" s="8">
        <f>L11+M11+N11+O11</f>
        <v/>
      </c>
      <c r="Q11" s="9" t="n">
        <v>30</v>
      </c>
      <c r="R11" s="8">
        <f>P11-Q11</f>
        <v/>
      </c>
      <c r="S11" s="3" t="inlineStr">
        <is>
          <t>Thomas Berger</t>
        </is>
      </c>
      <c r="T11" s="10" t="inlineStr">
        <is>
          <t>Geprüft</t>
        </is>
      </c>
      <c r="U11" s="3" t="inlineStr">
        <is>
          <t>Messe-Eintritt als sonstige Kosten</t>
        </is>
      </c>
    </row>
    <row r="12">
      <c r="A12" s="3" t="n">
        <v>10</v>
      </c>
      <c r="B12" s="4" t="n">
        <v>46100</v>
      </c>
      <c r="C12" s="3" t="inlineStr">
        <is>
          <t>Paul Hartmann</t>
        </is>
      </c>
      <c r="D12" s="3" t="inlineStr">
        <is>
          <t>KST-180 Service</t>
        </is>
      </c>
      <c r="E12" s="3" t="inlineStr">
        <is>
          <t>Bremen</t>
        </is>
      </c>
      <c r="F12" s="3" t="inlineStr">
        <is>
          <t>Oldenburg</t>
        </is>
      </c>
      <c r="G12" s="3" t="inlineStr">
        <is>
          <t>Servicetermin</t>
        </is>
      </c>
      <c r="H12" s="5" t="n">
        <v>52</v>
      </c>
      <c r="I12" s="11">
        <f>IF(H12&gt;0,"Ja","Nein")</f>
        <v/>
      </c>
      <c r="J12" s="12">
        <f>IF(I12="Ja",H12*2,H12)</f>
        <v/>
      </c>
      <c r="K12" s="13">
        <f>IFERROR(VLOOKUP(C12,Auswertung!$J$5:$K$14,2,FALSE),0.3)</f>
        <v/>
      </c>
      <c r="L12" s="13">
        <f>J12*K12</f>
        <v/>
      </c>
      <c r="M12" s="9" t="n">
        <v>3</v>
      </c>
      <c r="N12" s="9" t="n">
        <v>0</v>
      </c>
      <c r="O12" s="13">
        <f>(M12+N12)*0.19</f>
        <v/>
      </c>
      <c r="P12" s="13">
        <f>L12+M12+N12+O12</f>
        <v/>
      </c>
      <c r="Q12" s="9" t="n">
        <v>0</v>
      </c>
      <c r="R12" s="13">
        <f>P12-Q12</f>
        <v/>
      </c>
      <c r="S12" s="3" t="inlineStr">
        <is>
          <t>Sabine Krüger</t>
        </is>
      </c>
      <c r="T12" s="10" t="inlineStr">
        <is>
          <t>Offen</t>
        </is>
      </c>
      <c r="U12" s="3" t="inlineStr">
        <is>
          <t>Warten auf Genehmigung</t>
        </is>
      </c>
    </row>
    <row r="13">
      <c r="G13" s="14" t="inlineStr">
        <is>
          <t>Summen</t>
        </is>
      </c>
      <c r="J13" s="15">
        <f>SUM(J3:J12)</f>
        <v/>
      </c>
      <c r="L13" s="16">
        <f>SUM(L3:L12)</f>
        <v/>
      </c>
      <c r="M13" s="16">
        <f>SUM(M3:M12)</f>
        <v/>
      </c>
      <c r="N13" s="16">
        <f>SUM(N3:N12)</f>
        <v/>
      </c>
      <c r="O13" s="16">
        <f>SUM(O3:O12)</f>
        <v/>
      </c>
      <c r="P13" s="16">
        <f>SUM(P3:P12)</f>
        <v/>
      </c>
      <c r="Q13" s="16">
        <f>SUM(Q3:Q12)</f>
        <v/>
      </c>
      <c r="R13" s="16">
        <f>SUM(R3:R12)</f>
        <v/>
      </c>
    </row>
  </sheetData>
  <mergeCells count="1">
    <mergeCell ref="A1:U1"/>
  </mergeCells>
  <conditionalFormatting sqref="T3:T12">
    <cfRule type="expression" priority="1" dxfId="0" stopIfTrue="1">
      <formula>T3="Offen"</formula>
    </cfRule>
    <cfRule type="expression" priority="2" dxfId="1" stopIfTrue="1">
      <formula>T3="Ausgezahlt"</formula>
    </cfRule>
  </conditionalFormatting>
  <conditionalFormatting sqref="R3:R12">
    <cfRule type="cellIs" priority="3" operator="lessThan" dxfId="2" stopIfTrue="1">
      <formula>0</formula>
    </cfRule>
  </conditionalFormatting>
  <conditionalFormatting sqref="L3:L12">
    <cfRule type="cellIs" priority="4" operator="greaterThan" dxfId="3" stopIfTrue="1">
      <formula>100</formula>
    </cfRule>
  </conditionalFormatting>
  <dataValidations count="1">
    <dataValidation sqref="T3:T12" showErrorMessage="1" showInputMessage="1" allowBlank="1" type="list">
      <formula1>"Offen,Geprüft,Ausgezahlt"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selection activeCell="A1" sqref="A1"/>
    </sheetView>
  </sheetViews>
  <sheetFormatPr baseColWidth="8" defaultRowHeight="15"/>
  <cols>
    <col width="34" customWidth="1" min="1" max="1"/>
    <col width="22" customWidth="1" min="2" max="2"/>
    <col width="22" customWidth="1" min="10" max="10"/>
    <col width="20" customWidth="1" min="11" max="11"/>
  </cols>
  <sheetData>
    <row r="1">
      <c r="A1" s="1" t="inlineStr">
        <is>
          <t>Auswertung und Kennzahlen</t>
        </is>
      </c>
    </row>
    <row r="3">
      <c r="A3" s="17" t="inlineStr">
        <is>
          <t>Kennzahl</t>
        </is>
      </c>
      <c r="B3" s="18" t="inlineStr">
        <is>
          <t>Wert</t>
        </is>
      </c>
    </row>
    <row r="4">
      <c r="A4" s="19" t="inlineStr">
        <is>
          <t>Gesamtkilometer</t>
        </is>
      </c>
      <c r="B4" s="7">
        <f>SUM(Dienstfahrten!J3:J12)</f>
        <v/>
      </c>
      <c r="J4" s="20" t="inlineStr">
        <is>
          <t>Mitarbeitende/r</t>
        </is>
      </c>
      <c r="K4" s="20" t="inlineStr">
        <is>
          <t>Erstattungssatz je km</t>
        </is>
      </c>
    </row>
    <row r="5">
      <c r="A5" s="21" t="inlineStr">
        <is>
          <t>Gesamterstattungsbetrag</t>
        </is>
      </c>
      <c r="B5" s="13">
        <f>SUM(Dienstfahrten!L3:L12)</f>
        <v/>
      </c>
      <c r="J5" s="22" t="inlineStr">
        <is>
          <t>Anna Müller</t>
        </is>
      </c>
      <c r="K5" s="23" t="n">
        <v>0.3</v>
      </c>
    </row>
    <row r="6">
      <c r="A6" s="19" t="inlineStr">
        <is>
          <t>Gesamtauszahlung</t>
        </is>
      </c>
      <c r="B6" s="8">
        <f>SUM(Dienstfahrten!R3:R12)</f>
        <v/>
      </c>
      <c r="J6" s="24" t="inlineStr">
        <is>
          <t>Lukas Schneider</t>
        </is>
      </c>
      <c r="K6" s="23" t="n">
        <v>0.3</v>
      </c>
    </row>
    <row r="7">
      <c r="A7" s="21" t="inlineStr">
        <is>
          <t>Durchschnittliche Kilometer je Fahrt</t>
        </is>
      </c>
      <c r="B7" s="12">
        <f>IFERROR(AVERAGE(Dienstfahrten!J3:J12),0)</f>
        <v/>
      </c>
      <c r="J7" s="22" t="inlineStr">
        <is>
          <t>Julia Weber</t>
        </is>
      </c>
      <c r="K7" s="23" t="n">
        <v>0.32</v>
      </c>
    </row>
    <row r="8">
      <c r="A8" s="19" t="inlineStr">
        <is>
          <t>Anzahl aller Fahrten</t>
        </is>
      </c>
      <c r="B8" s="25">
        <f>COUNTIF(Dienstfahrten!A3:A12,"&lt;&gt;")</f>
        <v/>
      </c>
      <c r="J8" s="24" t="inlineStr">
        <is>
          <t>Maximilian Fischer</t>
        </is>
      </c>
      <c r="K8" s="23" t="n">
        <v>0.3</v>
      </c>
    </row>
    <row r="9">
      <c r="A9" s="21" t="inlineStr">
        <is>
          <t>Anzahl offener Fahrten</t>
        </is>
      </c>
      <c r="B9" s="26">
        <f>COUNTIF(Dienstfahrten!T3:T12,"Offen")</f>
        <v/>
      </c>
      <c r="J9" s="22" t="inlineStr">
        <is>
          <t>Sophie Wagner</t>
        </is>
      </c>
      <c r="K9" s="23" t="n">
        <v>0.3</v>
      </c>
    </row>
    <row r="10">
      <c r="A10" s="19" t="inlineStr">
        <is>
          <t>Anteil geprüfter Fahrten</t>
        </is>
      </c>
      <c r="B10" s="27">
        <f>IFERROR(COUNTIF(Dienstfahrten!T3:T12,"Geprüft")/COUNTA(Dienstfahrten!A3:A12),0)</f>
        <v/>
      </c>
      <c r="J10" s="24" t="inlineStr">
        <is>
          <t>Felix Becker</t>
        </is>
      </c>
      <c r="K10" s="23" t="n">
        <v>0.35</v>
      </c>
    </row>
    <row r="11">
      <c r="A11" s="21" t="inlineStr">
        <is>
          <t>Prüfung hoher Erstattungsbeträge</t>
        </is>
      </c>
      <c r="B11" s="26">
        <f>IF(B4&gt;1000,"Prüfung erforderlich","Im Rahmen")</f>
        <v/>
      </c>
      <c r="J11" s="22" t="inlineStr">
        <is>
          <t>Laura Hoffmann</t>
        </is>
      </c>
      <c r="K11" s="23" t="n">
        <v>0.3</v>
      </c>
    </row>
    <row r="12">
      <c r="J12" s="24" t="inlineStr">
        <is>
          <t>Jonas Richter</t>
        </is>
      </c>
      <c r="K12" s="23" t="n">
        <v>0.3</v>
      </c>
    </row>
    <row r="13">
      <c r="A13" s="28" t="inlineStr">
        <is>
          <t>Mitarbeitende / Erstattungssatz</t>
        </is>
      </c>
      <c r="J13" s="22" t="inlineStr">
        <is>
          <t>Marie Klein</t>
        </is>
      </c>
      <c r="K13" s="23" t="n">
        <v>0.3</v>
      </c>
    </row>
    <row r="14">
      <c r="J14" s="24" t="inlineStr">
        <is>
          <t>Paul Hartmann</t>
        </is>
      </c>
      <c r="K14" s="23" t="n">
        <v>0.3</v>
      </c>
    </row>
    <row r="15">
      <c r="J15" s="29" t="inlineStr">
        <is>
          <t>Standardsatz: 0,30 €/km (anpassbarer Richtwert). Steuerliche Behandlung durch Lohnbuchhaltung/Steuerberatung prüfen.</t>
        </is>
      </c>
    </row>
    <row r="17">
      <c r="A17" s="28" t="inlineStr">
        <is>
          <t>Erstattungsbetrag je Mitarbeitenden</t>
        </is>
      </c>
    </row>
    <row r="18">
      <c r="A18" s="30" t="inlineStr">
        <is>
          <t>Mitarbeitende/r</t>
        </is>
      </c>
      <c r="B18" s="30" t="inlineStr">
        <is>
          <t>Erstattungsbetrag</t>
        </is>
      </c>
    </row>
    <row r="19">
      <c r="A19" s="31">
        <f>Dienstfahrten!C3</f>
        <v/>
      </c>
      <c r="B19" s="32">
        <f>SUMIF(Dienstfahrten!$C$3:$C$12,A19,Dienstfahrten!$L$3:$L$12)</f>
        <v/>
      </c>
    </row>
    <row r="20">
      <c r="A20" s="31">
        <f>Dienstfahrten!C4</f>
        <v/>
      </c>
      <c r="B20" s="32">
        <f>SUMIF(Dienstfahrten!$C$3:$C$12,A20,Dienstfahrten!$L$3:$L$12)</f>
        <v/>
      </c>
    </row>
    <row r="21">
      <c r="A21" s="31">
        <f>Dienstfahrten!C5</f>
        <v/>
      </c>
      <c r="B21" s="32">
        <f>SUMIF(Dienstfahrten!$C$3:$C$12,A21,Dienstfahrten!$L$3:$L$12)</f>
        <v/>
      </c>
    </row>
    <row r="22">
      <c r="A22" s="31">
        <f>Dienstfahrten!C6</f>
        <v/>
      </c>
      <c r="B22" s="32">
        <f>SUMIF(Dienstfahrten!$C$3:$C$12,A22,Dienstfahrten!$L$3:$L$12)</f>
        <v/>
      </c>
    </row>
    <row r="23">
      <c r="A23" s="31">
        <f>Dienstfahrten!C7</f>
        <v/>
      </c>
      <c r="B23" s="32">
        <f>SUMIF(Dienstfahrten!$C$3:$C$12,A23,Dienstfahrten!$L$3:$L$12)</f>
        <v/>
      </c>
    </row>
    <row r="24">
      <c r="A24" s="31">
        <f>Dienstfahrten!C8</f>
        <v/>
      </c>
      <c r="B24" s="32">
        <f>SUMIF(Dienstfahrten!$C$3:$C$12,A24,Dienstfahrten!$L$3:$L$12)</f>
        <v/>
      </c>
    </row>
    <row r="25">
      <c r="A25" s="31">
        <f>Dienstfahrten!C9</f>
        <v/>
      </c>
      <c r="B25" s="32">
        <f>SUMIF(Dienstfahrten!$C$3:$C$12,A25,Dienstfahrten!$L$3:$L$12)</f>
        <v/>
      </c>
    </row>
    <row r="26">
      <c r="A26" s="31">
        <f>Dienstfahrten!C10</f>
        <v/>
      </c>
      <c r="B26" s="32">
        <f>SUMIF(Dienstfahrten!$C$3:$C$12,A26,Dienstfahrten!$L$3:$L$12)</f>
        <v/>
      </c>
    </row>
    <row r="27">
      <c r="A27" s="31">
        <f>Dienstfahrten!C11</f>
        <v/>
      </c>
      <c r="B27" s="32">
        <f>SUMIF(Dienstfahrten!$C$3:$C$12,A27,Dienstfahrten!$L$3:$L$12)</f>
        <v/>
      </c>
    </row>
    <row r="28">
      <c r="A28" s="31">
        <f>Dienstfahrten!C12</f>
        <v/>
      </c>
      <c r="B28" s="32">
        <f>SUMIF(Dienstfahrten!$C$3:$C$12,A28,Dienstfahrten!$L$3:$L$12)</f>
        <v/>
      </c>
    </row>
    <row r="30">
      <c r="A30" s="28" t="inlineStr">
        <is>
          <t>Fahrten nach Status</t>
        </is>
      </c>
    </row>
    <row r="31">
      <c r="A31" s="30" t="inlineStr">
        <is>
          <t>Status</t>
        </is>
      </c>
      <c r="B31" s="30" t="inlineStr">
        <is>
          <t>Anzahl</t>
        </is>
      </c>
    </row>
    <row r="32">
      <c r="A32" s="31" t="inlineStr">
        <is>
          <t>Offen</t>
        </is>
      </c>
      <c r="B32" s="31">
        <f>COUNTIF(Dienstfahrten!$T$3:$T$12,"Offen")</f>
        <v/>
      </c>
    </row>
    <row r="33">
      <c r="A33" s="31" t="inlineStr">
        <is>
          <t>Geprüft</t>
        </is>
      </c>
      <c r="B33" s="31">
        <f>COUNTIF(Dienstfahrten!$T$3:$T$12,"Geprüft")</f>
        <v/>
      </c>
    </row>
    <row r="34">
      <c r="A34" s="31" t="inlineStr">
        <is>
          <t>Ausgezahlt</t>
        </is>
      </c>
      <c r="B34" s="31">
        <f>COUNTIF(Dienstfahrten!$T$3:$T$12,"Ausgezahlt")</f>
        <v/>
      </c>
    </row>
    <row r="36">
      <c r="A36" s="28" t="inlineStr">
        <is>
          <t>Gesamtkilometer je Zielort</t>
        </is>
      </c>
    </row>
    <row r="37">
      <c r="A37" s="30" t="inlineStr">
        <is>
          <t>Zielort</t>
        </is>
      </c>
      <c r="B37" s="30" t="inlineStr">
        <is>
          <t>Gesamtkilometer</t>
        </is>
      </c>
    </row>
    <row r="38">
      <c r="A38" s="31">
        <f>Dienstfahrten!F3</f>
        <v/>
      </c>
      <c r="B38" s="33">
        <f>SUMIF(Dienstfahrten!$F$3:$F$12,A38,Dienstfahrten!$J$3:$J$12)</f>
        <v/>
      </c>
    </row>
    <row r="39">
      <c r="A39" s="31">
        <f>Dienstfahrten!F4</f>
        <v/>
      </c>
      <c r="B39" s="33">
        <f>SUMIF(Dienstfahrten!$F$3:$F$12,A39,Dienstfahrten!$J$3:$J$12)</f>
        <v/>
      </c>
    </row>
    <row r="40">
      <c r="A40" s="31">
        <f>Dienstfahrten!F5</f>
        <v/>
      </c>
      <c r="B40" s="33">
        <f>SUMIF(Dienstfahrten!$F$3:$F$12,A40,Dienstfahrten!$J$3:$J$12)</f>
        <v/>
      </c>
    </row>
    <row r="41">
      <c r="A41" s="31">
        <f>Dienstfahrten!F6</f>
        <v/>
      </c>
      <c r="B41" s="33">
        <f>SUMIF(Dienstfahrten!$F$3:$F$12,A41,Dienstfahrten!$J$3:$J$12)</f>
        <v/>
      </c>
    </row>
    <row r="42">
      <c r="A42" s="31">
        <f>Dienstfahrten!F7</f>
        <v/>
      </c>
      <c r="B42" s="33">
        <f>SUMIF(Dienstfahrten!$F$3:$F$12,A42,Dienstfahrten!$J$3:$J$12)</f>
        <v/>
      </c>
    </row>
    <row r="43">
      <c r="A43" s="31">
        <f>Dienstfahrten!F8</f>
        <v/>
      </c>
      <c r="B43" s="33">
        <f>SUMIF(Dienstfahrten!$F$3:$F$12,A43,Dienstfahrten!$J$3:$J$12)</f>
        <v/>
      </c>
    </row>
    <row r="44">
      <c r="A44" s="31">
        <f>Dienstfahrten!F9</f>
        <v/>
      </c>
      <c r="B44" s="33">
        <f>SUMIF(Dienstfahrten!$F$3:$F$12,A44,Dienstfahrten!$J$3:$J$12)</f>
        <v/>
      </c>
    </row>
    <row r="45">
      <c r="A45" s="31">
        <f>Dienstfahrten!F10</f>
        <v/>
      </c>
      <c r="B45" s="33">
        <f>SUMIF(Dienstfahrten!$F$3:$F$12,A45,Dienstfahrten!$J$3:$J$12)</f>
        <v/>
      </c>
    </row>
    <row r="46">
      <c r="A46" s="31">
        <f>Dienstfahrten!F11</f>
        <v/>
      </c>
      <c r="B46" s="33">
        <f>SUMIF(Dienstfahrten!$F$3:$F$12,A46,Dienstfahrten!$J$3:$J$12)</f>
        <v/>
      </c>
    </row>
    <row r="47">
      <c r="A47" s="31">
        <f>Dienstfahrten!F12</f>
        <v/>
      </c>
      <c r="B47" s="33">
        <f>SUMIF(Dienstfahrten!$F$3:$F$12,A47,Dienstfahrten!$J$3:$J$12)</f>
        <v/>
      </c>
    </row>
  </sheetData>
  <mergeCells count="6">
    <mergeCell ref="A1:F1"/>
    <mergeCell ref="A13:B13"/>
    <mergeCell ref="J15:K15"/>
    <mergeCell ref="A17:B17"/>
    <mergeCell ref="A30:B30"/>
    <mergeCell ref="A36:B36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22" customWidth="1" min="1" max="1"/>
    <col width="110" customWidth="1" min="2" max="2"/>
  </cols>
  <sheetData>
    <row r="1">
      <c r="A1" s="1" t="inlineStr">
        <is>
          <t>Anleitung – Dienstfahrten mit Privat-Pkw</t>
        </is>
      </c>
    </row>
    <row r="3" ht="32" customHeight="1">
      <c r="A3" s="17" t="inlineStr">
        <is>
          <t>Blatt</t>
        </is>
      </c>
      <c r="B3" s="34" t="inlineStr">
        <is>
          <t>Erläuterung</t>
        </is>
      </c>
    </row>
    <row r="4" ht="32" customHeight="1">
      <c r="A4" s="35" t="inlineStr">
        <is>
          <t>Dienstfahrten</t>
        </is>
      </c>
      <c r="B4" s="36" t="inlineStr">
        <is>
          <t>Haupttabelle zur Erfassung aller Dienstfahrten. Gelb markierte Zellen sind Eingabefelder; alle übrigen Spalten werden per Formel berechnet.</t>
        </is>
      </c>
    </row>
    <row r="5" ht="32" customHeight="1">
      <c r="A5" s="37" t="inlineStr">
        <is>
          <t>Auswertung</t>
        </is>
      </c>
      <c r="B5" s="38" t="inlineStr">
        <is>
          <t>Dashboard mit Kennzahlen, Diagrammen und der Nachschlagetabelle der Erstattungssätze je Mitarbeitenden.</t>
        </is>
      </c>
    </row>
    <row r="6" ht="32" customHeight="1">
      <c r="A6" s="35" t="inlineStr">
        <is>
          <t>Eingabe</t>
        </is>
      </c>
      <c r="B6" s="36" t="inlineStr">
        <is>
          <t>Eine Fahrt ist möglichst zeitnah und vollständig zu erfassen (Datum, Anlass, Start, Ziel, Kilometer, Belege).</t>
        </is>
      </c>
    </row>
    <row r="7" ht="32" customHeight="1">
      <c r="A7" s="37" t="inlineStr">
        <is>
          <t>Kilometernachweis</t>
        </is>
      </c>
      <c r="B7" s="38" t="inlineStr">
        <is>
          <t>Kilometer müssen nachvollziehbar sein, z. B. anhand Routenplaner, Fahrtenbuch oder Terminunterlagen.</t>
        </is>
      </c>
    </row>
    <row r="8" ht="32" customHeight="1">
      <c r="A8" s="35" t="inlineStr">
        <is>
          <t>Nebenkosten</t>
        </is>
      </c>
      <c r="B8" s="36" t="inlineStr">
        <is>
          <t>Park- und sonstige Kosten sind netto sowie mit Beleg einzutragen. Die Umsatzsteuer (19 %) wird automatisch berechnet.</t>
        </is>
      </c>
    </row>
    <row r="9" ht="32" customHeight="1">
      <c r="A9" s="37" t="inlineStr">
        <is>
          <t>Erstattungssatz</t>
        </is>
      </c>
      <c r="B9" s="38" t="inlineStr">
        <is>
          <t>Standardsatz 0,30 € je Kilometer (anpassbarer Richtwert). Sätze dürfen nur nach interner Richtlinie oder steuerlicher Prüfung geändert werden.</t>
        </is>
      </c>
    </row>
    <row r="10" ht="32" customHeight="1">
      <c r="A10" s="35" t="inlineStr">
        <is>
          <t>Prüfung</t>
        </is>
      </c>
      <c r="B10" s="36" t="inlineStr">
        <is>
          <t>Vor Auszahlung sind Anlass, Kilometer, Belege und Genehmigung zu prüfen. Offene Fahrten werden rot markiert.</t>
        </is>
      </c>
    </row>
    <row r="11" ht="32" customHeight="1">
      <c r="A11" s="37" t="inlineStr">
        <is>
          <t>DSGVO</t>
        </is>
      </c>
      <c r="B11" s="38" t="inlineStr">
        <is>
          <t>Personenbezogene Daten sind vertraulich zu behandeln; Zugriff nur für berechtigte Personen.</t>
        </is>
      </c>
    </row>
    <row r="12" ht="32" customHeight="1">
      <c r="A12" s="35" t="inlineStr">
        <is>
          <t>Aufbewahrung</t>
        </is>
      </c>
      <c r="B12" s="36" t="inlineStr">
        <is>
          <t>Abrechnungen und Belege sind gemäß gesetzlicher Aufbewahrungsfristen (in der Regel 10 Jahre) zu archivieren.</t>
        </is>
      </c>
    </row>
    <row r="13" ht="32" customHeight="1">
      <c r="A13" s="37" t="inlineStr">
        <is>
          <t>DATEV-Übergabe</t>
        </is>
      </c>
      <c r="B13" s="38" t="inlineStr">
        <is>
          <t>Die Auswertung kann als Grundlage für die Übergabe an die Lohnbuchhaltung / DATEV dienen.</t>
        </is>
      </c>
    </row>
    <row r="14" ht="32" customHeight="1">
      <c r="A14" s="35" t="inlineStr">
        <is>
          <t>Steuerlicher Hinweis</t>
        </is>
      </c>
      <c r="B14" s="36" t="inlineStr">
        <is>
          <t>Die tatsächliche steuerliche Behandlung ist durch die zuständige Lohnbuchhaltung bzw. Steuerberatung zu prüfen.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2026-08-01T18:57:46Z</dcterms:created>
  <dcterms:modified xmlns:dcterms="http://purl.org/dc/terms/" xmlns:xsi="http://www.w3.org/2001/XMLSchema-instance" xsi:type="dcterms:W3CDTF">2026-08-01T18:57:46Z</dcterms:modified>
</cp:coreProperties>
</file>