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ktabrechnung" sheetId="1" state="visible" r:id="rId1"/>
    <sheet xmlns:r="http://schemas.openxmlformats.org/officeDocument/2006/relationships" name="Projektübersicht" sheetId="2" state="visible" r:id="rId2"/>
    <sheet xmlns:r="http://schemas.openxmlformats.org/officeDocument/2006/relationships" name="Dashboard" sheetId="3" state="visible" r:id="rId3"/>
    <sheet xmlns:r="http://schemas.openxmlformats.org/officeDocument/2006/relationships" name="Hinweise" sheetId="4" state="visible" r:id="rId4"/>
  </sheets>
  <definedNames/>
  <calcPr calcId="124519" fullCalcOnLoad="1"/>
</workbook>
</file>

<file path=xl/styles.xml><?xml version="1.0" encoding="utf-8"?>
<styleSheet xmlns="http://schemas.openxmlformats.org/spreadsheetml/2006/main">
  <numFmts count="4">
    <numFmt numFmtId="164" formatCode="yyyy-mm-dd"/>
    <numFmt numFmtId="165" formatCode="DD.MM.YYYY"/>
    <numFmt numFmtId="166" formatCode="#.##0,00 &quot;€&quot;"/>
    <numFmt numFmtId="167" formatCode="0,0%"/>
  </numFmts>
  <fonts count="8">
    <font>
      <name val="Calibri"/>
      <family val="2"/>
      <color theme="1"/>
      <sz val="11"/>
      <scheme val="minor"/>
    </font>
    <font>
      <name val="Calibri"/>
      <b val="1"/>
      <color rgb="00C8102E"/>
      <sz val="16"/>
    </font>
    <font>
      <name val="Calibri"/>
      <b val="1"/>
      <color rgb="00FFFFFF"/>
      <sz val="11"/>
    </font>
    <font>
      <name val="Calibri"/>
      <color rgb="001E293B"/>
      <sz val="10"/>
    </font>
    <font>
      <name val="Calibri"/>
      <b val="1"/>
      <color rgb="001E293B"/>
      <sz val="11"/>
    </font>
    <font>
      <name val="Calibri"/>
      <b val="1"/>
      <color rgb="0064748B"/>
      <sz val="10"/>
    </font>
    <font>
      <name val="Calibri"/>
      <b val="1"/>
      <color rgb="001E293B"/>
      <sz val="14"/>
    </font>
    <font>
      <name val="Calibri"/>
      <b val="1"/>
      <color rgb="00FFFFFF"/>
      <sz val="10"/>
    </font>
  </fonts>
  <fills count="7">
    <fill>
      <patternFill/>
    </fill>
    <fill>
      <patternFill patternType="gray125"/>
    </fill>
    <fill>
      <patternFill patternType="solid">
        <fgColor rgb="001E293B"/>
      </patternFill>
    </fill>
    <fill>
      <patternFill patternType="solid">
        <fgColor rgb="00F8FAFC"/>
      </patternFill>
    </fill>
    <fill>
      <patternFill patternType="solid">
        <fgColor rgb="00FFFBEB"/>
      </patternFill>
    </fill>
    <fill>
      <patternFill patternType="solid">
        <fgColor rgb="00FFFFFF"/>
      </patternFill>
    </fill>
    <fill>
      <patternFill patternType="solid">
        <fgColor rgb="00F1F5F9"/>
      </patternFill>
    </fill>
  </fills>
  <borders count="5">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style="thin">
        <color rgb="00D1D5DB"/>
      </right>
      <top style="thin">
        <color rgb="00D1D5DB"/>
      </top>
      <bottom style="thin">
        <color rgb="00D1D5DB"/>
      </bottom>
      <diagonal/>
    </border>
  </borders>
  <cellStyleXfs count="1">
    <xf numFmtId="0" fontId="0" fillId="0" borderId="0"/>
  </cellStyleXfs>
  <cellXfs count="33">
    <xf numFmtId="0" fontId="0" fillId="0" borderId="0" pivotButton="0" quotePrefix="0" xfId="0"/>
    <xf numFmtId="0" fontId="1" fillId="0" borderId="0" applyAlignment="1" pivotButton="0" quotePrefix="0" xfId="0">
      <alignment horizontal="left" vertical="center"/>
    </xf>
    <xf numFmtId="0" fontId="2" fillId="2" borderId="1" applyAlignment="1" pivotButton="0" quotePrefix="0" xfId="0">
      <alignment horizontal="center" vertical="center" wrapText="1"/>
    </xf>
    <xf numFmtId="0" fontId="3" fillId="3" borderId="1" applyAlignment="1" pivotButton="0" quotePrefix="0" xfId="0">
      <alignment horizontal="center" vertical="center"/>
    </xf>
    <xf numFmtId="0" fontId="3" fillId="3" borderId="1" applyAlignment="1" pivotButton="0" quotePrefix="0" xfId="0">
      <alignment horizontal="left" vertical="center"/>
    </xf>
    <xf numFmtId="165" fontId="3" fillId="4" borderId="1" applyAlignment="1" pivotButton="0" quotePrefix="0" xfId="0">
      <alignment horizontal="center" vertical="center"/>
    </xf>
    <xf numFmtId="0" fontId="3" fillId="4" borderId="1" applyAlignment="1" pivotButton="0" quotePrefix="0" xfId="0">
      <alignment horizontal="left" vertical="center"/>
    </xf>
    <xf numFmtId="0" fontId="3" fillId="4" borderId="1" applyAlignment="1" pivotButton="0" quotePrefix="0" xfId="0">
      <alignment horizontal="center" vertical="center"/>
    </xf>
    <xf numFmtId="166" fontId="3" fillId="4" borderId="1" applyAlignment="1" pivotButton="0" quotePrefix="0" xfId="0">
      <alignment horizontal="right" vertical="center"/>
    </xf>
    <xf numFmtId="166" fontId="3" fillId="3" borderId="1" applyAlignment="1" pivotButton="0" quotePrefix="0" xfId="0">
      <alignment horizontal="right" vertical="center"/>
    </xf>
    <xf numFmtId="167" fontId="3" fillId="3" borderId="1" applyAlignment="1" pivotButton="0" quotePrefix="0" xfId="0">
      <alignment horizontal="right" vertical="center"/>
    </xf>
    <xf numFmtId="0" fontId="3" fillId="5" borderId="1" applyAlignment="1" pivotButton="0" quotePrefix="0" xfId="0">
      <alignment horizontal="center" vertical="center"/>
    </xf>
    <xf numFmtId="0" fontId="3" fillId="5" borderId="1" applyAlignment="1" pivotButton="0" quotePrefix="0" xfId="0">
      <alignment horizontal="left" vertical="center"/>
    </xf>
    <xf numFmtId="166" fontId="3" fillId="5" borderId="1" applyAlignment="1" pivotButton="0" quotePrefix="0" xfId="0">
      <alignment horizontal="right" vertical="center"/>
    </xf>
    <xf numFmtId="167" fontId="3" fillId="5" borderId="1" applyAlignment="1" pivotButton="0" quotePrefix="0" xfId="0">
      <alignment horizontal="right" vertical="center"/>
    </xf>
    <xf numFmtId="0" fontId="4" fillId="0" borderId="0" applyAlignment="1" pivotButton="0" quotePrefix="0" xfId="0">
      <alignment horizontal="right" vertical="center"/>
    </xf>
    <xf numFmtId="1" fontId="4" fillId="6" borderId="1" applyAlignment="1" pivotButton="0" quotePrefix="0" xfId="0">
      <alignment horizontal="right" vertical="center"/>
    </xf>
    <xf numFmtId="166" fontId="4" fillId="6" borderId="1" applyAlignment="1" pivotButton="0" quotePrefix="0" xfId="0">
      <alignment horizontal="right" vertical="center"/>
    </xf>
    <xf numFmtId="0" fontId="1" fillId="0" borderId="0" pivotButton="0" quotePrefix="0" xfId="0"/>
    <xf numFmtId="0" fontId="5" fillId="6" borderId="1" applyAlignment="1" pivotButton="0" quotePrefix="0" xfId="0">
      <alignment horizontal="center" vertical="center"/>
    </xf>
    <xf numFmtId="0" fontId="0" fillId="6" borderId="1" pivotButton="0" quotePrefix="0" xfId="0"/>
    <xf numFmtId="166" fontId="6" fillId="5" borderId="1" applyAlignment="1" pivotButton="0" quotePrefix="0" xfId="0">
      <alignment horizontal="center" vertical="center"/>
    </xf>
    <xf numFmtId="0" fontId="0" fillId="5" borderId="1" pivotButton="0" quotePrefix="0" xfId="0"/>
    <xf numFmtId="1" fontId="6" fillId="5" borderId="1" applyAlignment="1" pivotButton="0" quotePrefix="0" xfId="0">
      <alignment horizontal="center" vertical="center"/>
    </xf>
    <xf numFmtId="167" fontId="6" fillId="5" borderId="1" applyAlignment="1" pivotButton="0" quotePrefix="0" xfId="0">
      <alignment horizontal="center" vertical="center"/>
    </xf>
    <xf numFmtId="0" fontId="4" fillId="0" borderId="1" pivotButton="0" quotePrefix="0" xfId="0"/>
    <xf numFmtId="0" fontId="3" fillId="0" borderId="1" pivotButton="0" quotePrefix="0" xfId="0"/>
    <xf numFmtId="166" fontId="3" fillId="0" borderId="1" pivotButton="0" quotePrefix="0" xfId="0"/>
    <xf numFmtId="0" fontId="2" fillId="2" borderId="1" applyAlignment="1" pivotButton="0" quotePrefix="0" xfId="0">
      <alignment horizontal="left" vertical="center"/>
    </xf>
    <xf numFmtId="0" fontId="7" fillId="2" borderId="1" applyAlignment="1" pivotButton="0" quotePrefix="0" xfId="0">
      <alignment horizontal="left" vertical="top" wrapText="1"/>
    </xf>
    <xf numFmtId="0" fontId="4" fillId="6" borderId="1" applyAlignment="1" pivotButton="0" quotePrefix="0" xfId="0">
      <alignment horizontal="left" vertical="center"/>
    </xf>
    <xf numFmtId="0" fontId="3" fillId="5" borderId="1" applyAlignment="1" pivotButton="0" quotePrefix="0" xfId="0">
      <alignment horizontal="left" vertical="top" wrapText="1"/>
    </xf>
    <xf numFmtId="0" fontId="3" fillId="3" borderId="1" applyAlignment="1" pivotButton="0" quotePrefix="0" xfId="0">
      <alignment horizontal="left" vertical="top" wrapText="1"/>
    </xf>
  </cellXfs>
  <cellStyles count="1">
    <cellStyle name="Normal" xfId="0" builtinId="0" hidden="0"/>
  </cellStyles>
  <dxfs count="3">
    <dxf>
      <font>
        <name val="Calibri"/>
        <b val="1"/>
        <color rgb="00DC2626"/>
        <sz val="10"/>
      </font>
      <fill>
        <patternFill patternType="solid">
          <fgColor rgb="00FEE2E2"/>
        </patternFill>
      </fill>
    </dxf>
    <dxf>
      <font>
        <name val="Calibri"/>
        <b val="1"/>
        <color rgb="0016A34A"/>
        <sz val="10"/>
      </font>
      <fill>
        <patternFill patternType="solid">
          <fgColor rgb="00DCFCE7"/>
        </patternFill>
      </fill>
    </dxf>
    <dxf>
      <fill>
        <patternFill patternType="solid">
          <fgColor rgb="00FEF9C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Netto-Umsatz je Projekt</a:t>
            </a:r>
          </a:p>
        </rich>
      </tx>
    </title>
    <plotArea>
      <barChart>
        <barDir val="col"/>
        <grouping val="clustered"/>
        <ser>
          <idx val="0"/>
          <order val="0"/>
          <tx>
            <strRef>
              <f>'Projektübersicht'!F2</f>
            </strRef>
          </tx>
          <spPr>
            <a:solidFill xmlns:a="http://schemas.openxmlformats.org/drawingml/2006/main">
              <a:srgbClr val="1E293B"/>
            </a:solidFill>
            <a:ln xmlns:a="http://schemas.openxmlformats.org/drawingml/2006/main">
              <a:prstDash val="solid"/>
            </a:ln>
          </spPr>
          <cat>
            <numRef>
              <f>'Projektübersicht'!$B$3:$B$12</f>
            </numRef>
          </cat>
          <val>
            <numRef>
              <f>'Projektübersicht'!$F$3:$F$12</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Projekt</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Netto-Umsatz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Rechnungsstatus</a:t>
            </a:r>
          </a:p>
        </rich>
      </tx>
    </title>
    <plotArea>
      <pieChart>
        <varyColors val="1"/>
        <ser>
          <idx val="0"/>
          <order val="0"/>
          <tx>
            <strRef>
              <f>'Dashboard'!B41</f>
            </strRef>
          </tx>
          <spPr>
            <a:ln xmlns:a="http://schemas.openxmlformats.org/drawingml/2006/main">
              <a:prstDash val="solid"/>
            </a:ln>
          </spPr>
          <cat>
            <numRef>
              <f>'Dashboard'!$A$42:$A$45</f>
            </numRef>
          </cat>
          <val>
            <numRef>
              <f>'Dashboard'!$B$42:$B$45</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Netto-Umsatz nach Leistungsart</a:t>
            </a:r>
          </a:p>
        </rich>
      </tx>
    </title>
    <plotArea>
      <barChart>
        <barDir val="bar"/>
        <grouping val="clustered"/>
        <ser>
          <idx val="0"/>
          <order val="0"/>
          <tx>
            <strRef>
              <f>'Dashboard'!E41</f>
            </strRef>
          </tx>
          <spPr>
            <a:solidFill xmlns:a="http://schemas.openxmlformats.org/drawingml/2006/main">
              <a:srgbClr val="C8102E"/>
            </a:solidFill>
            <a:ln xmlns:a="http://schemas.openxmlformats.org/drawingml/2006/main">
              <a:prstDash val="solid"/>
            </a:ln>
          </spPr>
          <cat>
            <numRef>
              <f>'Dashboard'!$D$42:$D$47</f>
            </numRef>
          </cat>
          <val>
            <numRef>
              <f>'Dashboard'!$E$42:$E$47</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Netto-Umsatz (€)</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Leistungsart</a:t>
                </a:r>
              </a:p>
            </rich>
          </tx>
        </title>
        <majorTickMark val="none"/>
        <minorTickMark val="none"/>
        <crossAx val="10"/>
      </valAx>
    </plotArea>
    <legend>
      <legendPos val="r"/>
    </legend>
    <plotVisOnly val="1"/>
    <dispBlanksAs val="gap"/>
  </chart>
</chartSpace>
</file>

<file path=xl/charts/chart4.xml><?xml version="1.0" encoding="utf-8"?>
<chartSpace xmlns="http://schemas.openxmlformats.org/drawingml/2006/chart">
  <chart>
    <title>
      <tx>
        <rich>
          <a:bodyPr xmlns:a="http://schemas.openxmlformats.org/drawingml/2006/main"/>
          <a:p xmlns:a="http://schemas.openxmlformats.org/drawingml/2006/main">
            <a:pPr>
              <a:defRPr/>
            </a:pPr>
            <a:r>
              <a:t>Netto-Umsatz nach Monat</a:t>
            </a:r>
          </a:p>
        </rich>
      </tx>
    </title>
    <plotArea>
      <lineChart>
        <grouping val="standard"/>
        <ser>
          <idx val="0"/>
          <order val="0"/>
          <tx>
            <strRef>
              <f>'Dashboard'!H41</f>
            </strRef>
          </tx>
          <spPr>
            <a:ln xmlns:a="http://schemas.openxmlformats.org/drawingml/2006/main" w="25000">
              <a:solidFill>
                <a:srgbClr val="16A34A"/>
              </a:solidFill>
              <a:prstDash val="solid"/>
            </a:ln>
          </spPr>
          <marker>
            <symbol val="none"/>
            <spPr>
              <a:ln xmlns:a="http://schemas.openxmlformats.org/drawingml/2006/main">
                <a:prstDash val="solid"/>
              </a:ln>
            </spPr>
          </marker>
          <cat>
            <numRef>
              <f>'Dashboard'!$G$42:$G$48</f>
            </numRef>
          </cat>
          <val>
            <numRef>
              <f>'Dashboard'!$H$42:$H$48</f>
            </numRef>
          </val>
        </ser>
        <axId val="10"/>
        <axId val="100"/>
      </lineChart>
      <catAx>
        <axId val="10"/>
        <scaling>
          <orientation val="minMax"/>
        </scaling>
        <axPos val="l"/>
        <title>
          <tx>
            <rich>
              <a:bodyPr xmlns:a="http://schemas.openxmlformats.org/drawingml/2006/main"/>
              <a:p xmlns:a="http://schemas.openxmlformats.org/drawingml/2006/main">
                <a:pPr>
                  <a:defRPr/>
                </a:pPr>
                <a:r>
                  <a:t>Monat</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Netto-Umsatz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 Type="http://schemas.openxmlformats.org/officeDocument/2006/relationships/chart" Target="/xl/charts/chart4.xml" Id="rId4"/></Relationships>
</file>

<file path=xl/drawings/drawing1.xml><?xml version="1.0" encoding="utf-8"?>
<wsDr xmlns="http://schemas.openxmlformats.org/drawingml/2006/spreadsheetDrawing">
  <oneCellAnchor>
    <from>
      <col>0</col>
      <colOff>0</colOff>
      <row>18</row>
      <rowOff>0</rowOff>
    </from>
    <ext cx="576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8</col>
      <colOff>0</colOff>
      <row>18</row>
      <rowOff>0</rowOff>
    </from>
    <ext cx="432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0</col>
      <colOff>0</colOff>
      <row>35</row>
      <rowOff>0</rowOff>
    </from>
    <ext cx="5760000" cy="288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oneCellAnchor>
    <from>
      <col>8</col>
      <colOff>0</colOff>
      <row>35</row>
      <rowOff>0</rowOff>
    </from>
    <ext cx="4320000" cy="2880000"/>
    <graphicFrame>
      <nvGraphicFramePr>
        <cNvPr id="4" name="Chart 4"/>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4"/>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Z13"/>
  <sheetViews>
    <sheetView workbookViewId="0">
      <pane xSplit="2" ySplit="2" topLeftCell="C3" activePane="bottomRight" state="frozen"/>
      <selection pane="topRight"/>
      <selection pane="bottomLeft"/>
      <selection pane="bottomRight" activeCell="A1" sqref="A1"/>
    </sheetView>
  </sheetViews>
  <sheetFormatPr baseColWidth="8" defaultRowHeight="15"/>
  <cols>
    <col width="14" customWidth="1" min="1" max="1"/>
    <col width="10" customWidth="1" min="2" max="2"/>
    <col width="22" customWidth="1" min="3" max="3"/>
    <col width="24" customWidth="1" min="4" max="4"/>
    <col width="18" customWidth="1" min="5" max="5"/>
    <col width="13" customWidth="1" min="6" max="6"/>
    <col width="14" customWidth="1" min="7" max="7"/>
    <col width="18" customWidth="1" min="8" max="8"/>
    <col width="15" customWidth="1" min="9" max="9"/>
    <col width="9" customWidth="1" min="10" max="10"/>
    <col width="15" customWidth="1" min="11" max="11"/>
    <col width="16" customWidth="1" min="12" max="12"/>
    <col width="15" customWidth="1" min="13" max="13"/>
    <col width="14" customWidth="1" min="14" max="14"/>
    <col width="15" customWidth="1" min="15" max="15"/>
    <col width="14" customWidth="1" min="16" max="16"/>
    <col width="10" customWidth="1" min="17" max="17"/>
    <col width="14" customWidth="1" min="18" max="18"/>
    <col width="14" customWidth="1" min="19" max="19"/>
    <col width="14" customWidth="1" min="20" max="20"/>
    <col width="15" customWidth="1" min="21" max="21"/>
    <col width="14" customWidth="1" min="22" max="22"/>
    <col width="15" customWidth="1" min="23" max="23"/>
    <col width="12" customWidth="1" min="24" max="24"/>
    <col width="10" customWidth="1" min="25" max="25"/>
    <col width="13" customWidth="1" min="26" max="26"/>
  </cols>
  <sheetData>
    <row r="1" ht="24" customHeight="1">
      <c r="A1" s="1" t="inlineStr">
        <is>
          <t>Projektabrechnung 2026 – Leistungs- und Rechnungserfassung</t>
        </is>
      </c>
    </row>
    <row r="2" ht="32" customHeight="1">
      <c r="A2" s="2" t="inlineStr">
        <is>
          <t>Abrechnungs-ID</t>
        </is>
      </c>
      <c r="B2" s="2" t="inlineStr">
        <is>
          <t>Projekt-ID</t>
        </is>
      </c>
      <c r="C2" s="2" t="inlineStr">
        <is>
          <t>Projektname</t>
        </is>
      </c>
      <c r="D2" s="2" t="inlineStr">
        <is>
          <t>Kunde</t>
        </is>
      </c>
      <c r="E2" s="2" t="inlineStr">
        <is>
          <t>Ansprechpartner</t>
        </is>
      </c>
      <c r="F2" s="2" t="inlineStr">
        <is>
          <t>Stadt</t>
        </is>
      </c>
      <c r="G2" s="2" t="inlineStr">
        <is>
          <t>Leistungsdatum</t>
        </is>
      </c>
      <c r="H2" s="2" t="inlineStr">
        <is>
          <t>Leistungsart</t>
        </is>
      </c>
      <c r="I2" s="2" t="inlineStr">
        <is>
          <t>Bearbeiter</t>
        </is>
      </c>
      <c r="J2" s="2" t="inlineStr">
        <is>
          <t>Stunden</t>
        </is>
      </c>
      <c r="K2" s="2" t="inlineStr">
        <is>
          <t>Stundensatz netto</t>
        </is>
      </c>
      <c r="L2" s="2" t="inlineStr">
        <is>
          <t>Arbeitsleistung netto</t>
        </is>
      </c>
      <c r="M2" s="2" t="inlineStr">
        <is>
          <t>Materialkosten netto</t>
        </is>
      </c>
      <c r="N2" s="2" t="inlineStr">
        <is>
          <t>Reisekosten netto</t>
        </is>
      </c>
      <c r="O2" s="2" t="inlineStr">
        <is>
          <t>Sonstige Kosten netto</t>
        </is>
      </c>
      <c r="P2" s="2" t="inlineStr">
        <is>
          <t>Netto gesamt</t>
        </is>
      </c>
      <c r="Q2" s="2" t="inlineStr">
        <is>
          <t>USt.-Satz</t>
        </is>
      </c>
      <c r="R2" s="2" t="inlineStr">
        <is>
          <t>Umsatzsteuer</t>
        </is>
      </c>
      <c r="S2" s="2" t="inlineStr">
        <is>
          <t>Brutto gesamt</t>
        </is>
      </c>
      <c r="T2" s="2" t="inlineStr">
        <is>
          <t>Rechnungsnummer</t>
        </is>
      </c>
      <c r="U2" s="2" t="inlineStr">
        <is>
          <t>Rechnungsdatum</t>
        </is>
      </c>
      <c r="V2" s="2" t="inlineStr">
        <is>
          <t>Zahlungsziel</t>
        </is>
      </c>
      <c r="W2" s="2" t="inlineStr">
        <is>
          <t>Zahlungseingang</t>
        </is>
      </c>
      <c r="X2" s="2" t="inlineStr">
        <is>
          <t>Status</t>
        </is>
      </c>
      <c r="Y2" s="2" t="inlineStr">
        <is>
          <t>Überfällig</t>
        </is>
      </c>
      <c r="Z2" s="2" t="inlineStr">
        <is>
          <t>Gewinnmarge %</t>
        </is>
      </c>
    </row>
    <row r="3">
      <c r="A3" s="3" t="inlineStr">
        <is>
          <t>AB-2026-001</t>
        </is>
      </c>
      <c r="B3" s="3" t="inlineStr">
        <is>
          <t>PRJ-001</t>
        </is>
      </c>
      <c r="C3" s="4" t="inlineStr">
        <is>
          <t>ERP-Einführung</t>
        </is>
      </c>
      <c r="D3" s="4" t="inlineStr">
        <is>
          <t>Müller GmbH</t>
        </is>
      </c>
      <c r="E3" s="4" t="inlineStr">
        <is>
          <t>Anna Müller</t>
        </is>
      </c>
      <c r="F3" s="4" t="inlineStr">
        <is>
          <t>Berlin</t>
        </is>
      </c>
      <c r="G3" s="5" t="n">
        <v>46027</v>
      </c>
      <c r="H3" s="6" t="inlineStr">
        <is>
          <t>Beratung</t>
        </is>
      </c>
      <c r="I3" s="6" t="inlineStr">
        <is>
          <t>Thomas Berger</t>
        </is>
      </c>
      <c r="J3" s="7" t="n">
        <v>24</v>
      </c>
      <c r="K3" s="8" t="n">
        <v>135</v>
      </c>
      <c r="L3" s="9">
        <f>J3*K3</f>
        <v/>
      </c>
      <c r="M3" s="8" t="n">
        <v>0</v>
      </c>
      <c r="N3" s="8" t="n">
        <v>0</v>
      </c>
      <c r="O3" s="8" t="n">
        <v>0</v>
      </c>
      <c r="P3" s="9">
        <f>SUM(L3:O3)</f>
        <v/>
      </c>
      <c r="Q3" s="10" t="n">
        <v>0.19</v>
      </c>
      <c r="R3" s="9">
        <f>P3*Q3</f>
        <v/>
      </c>
      <c r="S3" s="9">
        <f>P3+R3</f>
        <v/>
      </c>
      <c r="T3" s="7" t="inlineStr">
        <is>
          <t>RE-2026-001</t>
        </is>
      </c>
      <c r="U3" s="5" t="n">
        <v>46032</v>
      </c>
      <c r="V3" s="5" t="n">
        <v>46062</v>
      </c>
      <c r="W3" s="5" t="n">
        <v>46058</v>
      </c>
      <c r="X3" s="7" t="inlineStr">
        <is>
          <t>Bezahlt</t>
        </is>
      </c>
      <c r="Y3" s="3">
        <f>IF(AND(X3&lt;&gt;"Bezahlt",V3&lt;TODAY()),"Ja","Nein")</f>
        <v/>
      </c>
      <c r="Z3" s="10">
        <f>IFERROR((P3-(M3+N3+O3))/P3,0)</f>
        <v/>
      </c>
    </row>
    <row r="4">
      <c r="A4" s="11" t="inlineStr">
        <is>
          <t>AB-2026-002</t>
        </is>
      </c>
      <c r="B4" s="11" t="inlineStr">
        <is>
          <t>PRJ-002</t>
        </is>
      </c>
      <c r="C4" s="12" t="inlineStr">
        <is>
          <t>Webshop-Relaunch</t>
        </is>
      </c>
      <c r="D4" s="12" t="inlineStr">
        <is>
          <t>Schneider AG</t>
        </is>
      </c>
      <c r="E4" s="12" t="inlineStr">
        <is>
          <t>Julia Schneider</t>
        </is>
      </c>
      <c r="F4" s="12" t="inlineStr">
        <is>
          <t>München</t>
        </is>
      </c>
      <c r="G4" s="5" t="n">
        <v>46065</v>
      </c>
      <c r="H4" s="6" t="inlineStr">
        <is>
          <t>Softwareentwicklung</t>
        </is>
      </c>
      <c r="I4" s="6" t="inlineStr">
        <is>
          <t>Lukas Stein</t>
        </is>
      </c>
      <c r="J4" s="7" t="n">
        <v>42</v>
      </c>
      <c r="K4" s="8" t="n">
        <v>125</v>
      </c>
      <c r="L4" s="13">
        <f>J4*K4</f>
        <v/>
      </c>
      <c r="M4" s="8" t="n">
        <v>0</v>
      </c>
      <c r="N4" s="8" t="n">
        <v>0</v>
      </c>
      <c r="O4" s="8" t="n">
        <v>0</v>
      </c>
      <c r="P4" s="13">
        <f>SUM(L4:O4)</f>
        <v/>
      </c>
      <c r="Q4" s="14" t="n">
        <v>0.19</v>
      </c>
      <c r="R4" s="13">
        <f>P4*Q4</f>
        <v/>
      </c>
      <c r="S4" s="13">
        <f>P4+R4</f>
        <v/>
      </c>
      <c r="T4" s="7" t="inlineStr">
        <is>
          <t>RE-2026-002</t>
        </is>
      </c>
      <c r="U4" s="5" t="n">
        <v>46071</v>
      </c>
      <c r="V4" s="5" t="n">
        <v>46101</v>
      </c>
      <c r="W4" s="5" t="n">
        <v>46096</v>
      </c>
      <c r="X4" s="7" t="inlineStr">
        <is>
          <t>Bezahlt</t>
        </is>
      </c>
      <c r="Y4" s="11">
        <f>IF(AND(X4&lt;&gt;"Bezahlt",V4&lt;TODAY()),"Ja","Nein")</f>
        <v/>
      </c>
      <c r="Z4" s="14">
        <f>IFERROR((P4-(M4+N4+O4))/P4,0)</f>
        <v/>
      </c>
    </row>
    <row r="5">
      <c r="A5" s="3" t="inlineStr">
        <is>
          <t>AB-2026-003</t>
        </is>
      </c>
      <c r="B5" s="3" t="inlineStr">
        <is>
          <t>PRJ-003</t>
        </is>
      </c>
      <c r="C5" s="4" t="inlineStr">
        <is>
          <t>Logistik-Optimierung</t>
        </is>
      </c>
      <c r="D5" s="4" t="inlineStr">
        <is>
          <t>Weber Logistik GmbH</t>
        </is>
      </c>
      <c r="E5" s="4" t="inlineStr">
        <is>
          <t>Lukas Weber</t>
        </is>
      </c>
      <c r="F5" s="4" t="inlineStr">
        <is>
          <t>Hamburg</t>
        </is>
      </c>
      <c r="G5" s="5" t="n">
        <v>46084</v>
      </c>
      <c r="H5" s="6" t="inlineStr">
        <is>
          <t>Projektmanagement</t>
        </is>
      </c>
      <c r="I5" s="6" t="inlineStr">
        <is>
          <t>Sabine Krause</t>
        </is>
      </c>
      <c r="J5" s="7" t="n">
        <v>18</v>
      </c>
      <c r="K5" s="8" t="n">
        <v>145</v>
      </c>
      <c r="L5" s="9">
        <f>J5*K5</f>
        <v/>
      </c>
      <c r="M5" s="8" t="n">
        <v>120</v>
      </c>
      <c r="N5" s="8" t="n">
        <v>85</v>
      </c>
      <c r="O5" s="8" t="n">
        <v>0</v>
      </c>
      <c r="P5" s="9">
        <f>SUM(L5:O5)</f>
        <v/>
      </c>
      <c r="Q5" s="10" t="n">
        <v>0.19</v>
      </c>
      <c r="R5" s="9">
        <f>P5*Q5</f>
        <v/>
      </c>
      <c r="S5" s="9">
        <f>P5+R5</f>
        <v/>
      </c>
      <c r="T5" s="7" t="inlineStr">
        <is>
          <t>RE-2026-003</t>
        </is>
      </c>
      <c r="U5" s="5" t="n">
        <v>46089</v>
      </c>
      <c r="V5" s="5" t="n">
        <v>46119</v>
      </c>
      <c r="W5" s="5" t="n"/>
      <c r="X5" s="7" t="inlineStr">
        <is>
          <t>Versendet</t>
        </is>
      </c>
      <c r="Y5" s="3">
        <f>IF(AND(X5&lt;&gt;"Bezahlt",V5&lt;TODAY()),"Ja","Nein")</f>
        <v/>
      </c>
      <c r="Z5" s="10">
        <f>IFERROR((P5-(M5+N5+O5))/P5,0)</f>
        <v/>
      </c>
    </row>
    <row r="6">
      <c r="A6" s="11" t="inlineStr">
        <is>
          <t>AB-2026-004</t>
        </is>
      </c>
      <c r="B6" s="11" t="inlineStr">
        <is>
          <t>PRJ-004</t>
        </is>
      </c>
      <c r="C6" s="12" t="inlineStr">
        <is>
          <t>Corporate Design</t>
        </is>
      </c>
      <c r="D6" s="12" t="inlineStr">
        <is>
          <t>Fischer &amp; Partner</t>
        </is>
      </c>
      <c r="E6" s="12" t="inlineStr">
        <is>
          <t>Maximilian Fischer</t>
        </is>
      </c>
      <c r="F6" s="12" t="inlineStr">
        <is>
          <t>Köln</t>
        </is>
      </c>
      <c r="G6" s="5" t="n">
        <v>46101</v>
      </c>
      <c r="H6" s="6" t="inlineStr">
        <is>
          <t>Design</t>
        </is>
      </c>
      <c r="I6" s="6" t="inlineStr">
        <is>
          <t>Laura Brandt</t>
        </is>
      </c>
      <c r="J6" s="7" t="n">
        <v>30</v>
      </c>
      <c r="K6" s="8" t="n">
        <v>95</v>
      </c>
      <c r="L6" s="13">
        <f>J6*K6</f>
        <v/>
      </c>
      <c r="M6" s="8" t="n">
        <v>0</v>
      </c>
      <c r="N6" s="8" t="n">
        <v>0</v>
      </c>
      <c r="O6" s="8" t="n">
        <v>0</v>
      </c>
      <c r="P6" s="13">
        <f>SUM(L6:O6)</f>
        <v/>
      </c>
      <c r="Q6" s="14" t="n">
        <v>0.19</v>
      </c>
      <c r="R6" s="13">
        <f>P6*Q6</f>
        <v/>
      </c>
      <c r="S6" s="13">
        <f>P6+R6</f>
        <v/>
      </c>
      <c r="T6" s="7" t="inlineStr">
        <is>
          <t>RE-2026-004</t>
        </is>
      </c>
      <c r="U6" s="5" t="n">
        <v>46106</v>
      </c>
      <c r="V6" s="5" t="n">
        <v>46136</v>
      </c>
      <c r="W6" s="5" t="n">
        <v>46132</v>
      </c>
      <c r="X6" s="7" t="inlineStr">
        <is>
          <t>Bezahlt</t>
        </is>
      </c>
      <c r="Y6" s="11">
        <f>IF(AND(X6&lt;&gt;"Bezahlt",V6&lt;TODAY()),"Ja","Nein")</f>
        <v/>
      </c>
      <c r="Z6" s="14">
        <f>IFERROR((P6-(M6+N6+O6))/P6,0)</f>
        <v/>
      </c>
    </row>
    <row r="7">
      <c r="A7" s="3" t="inlineStr">
        <is>
          <t>AB-2026-005</t>
        </is>
      </c>
      <c r="B7" s="3" t="inlineStr">
        <is>
          <t>PRJ-005</t>
        </is>
      </c>
      <c r="C7" s="4" t="inlineStr">
        <is>
          <t>CRM-Schulung</t>
        </is>
      </c>
      <c r="D7" s="4" t="inlineStr">
        <is>
          <t>Wagner Versicherungen</t>
        </is>
      </c>
      <c r="E7" s="4" t="inlineStr">
        <is>
          <t>Sophie Wagner</t>
        </is>
      </c>
      <c r="F7" s="4" t="inlineStr">
        <is>
          <t>Frankfurt</t>
        </is>
      </c>
      <c r="G7" s="5" t="n">
        <v>46126</v>
      </c>
      <c r="H7" s="6" t="inlineStr">
        <is>
          <t>Schulung</t>
        </is>
      </c>
      <c r="I7" s="6" t="inlineStr">
        <is>
          <t>Stefan Roth</t>
        </is>
      </c>
      <c r="J7" s="7" t="n">
        <v>12</v>
      </c>
      <c r="K7" s="8" t="n">
        <v>85</v>
      </c>
      <c r="L7" s="9">
        <f>J7*K7</f>
        <v/>
      </c>
      <c r="M7" s="8" t="n">
        <v>0</v>
      </c>
      <c r="N7" s="8" t="n">
        <v>60</v>
      </c>
      <c r="O7" s="8" t="n">
        <v>0</v>
      </c>
      <c r="P7" s="9">
        <f>SUM(L7:O7)</f>
        <v/>
      </c>
      <c r="Q7" s="10" t="n">
        <v>0.19</v>
      </c>
      <c r="R7" s="9">
        <f>P7*Q7</f>
        <v/>
      </c>
      <c r="S7" s="9">
        <f>P7+R7</f>
        <v/>
      </c>
      <c r="T7" s="7" t="inlineStr">
        <is>
          <t>RE-2026-005</t>
        </is>
      </c>
      <c r="U7" s="5" t="n">
        <v>46130</v>
      </c>
      <c r="V7" s="5" t="n">
        <v>46160</v>
      </c>
      <c r="W7" s="5" t="n"/>
      <c r="X7" s="7" t="inlineStr">
        <is>
          <t>Versendet</t>
        </is>
      </c>
      <c r="Y7" s="3">
        <f>IF(AND(X7&lt;&gt;"Bezahlt",V7&lt;TODAY()),"Ja","Nein")</f>
        <v/>
      </c>
      <c r="Z7" s="10">
        <f>IFERROR((P7-(M7+N7+O7))/P7,0)</f>
        <v/>
      </c>
    </row>
    <row r="8">
      <c r="A8" s="11" t="inlineStr">
        <is>
          <t>AB-2026-006</t>
        </is>
      </c>
      <c r="B8" s="11" t="inlineStr">
        <is>
          <t>PRJ-006</t>
        </is>
      </c>
      <c r="C8" s="12" t="inlineStr">
        <is>
          <t>Cloud-Migration</t>
        </is>
      </c>
      <c r="D8" s="12" t="inlineStr">
        <is>
          <t>Becker Industrie GmbH</t>
        </is>
      </c>
      <c r="E8" s="12" t="inlineStr">
        <is>
          <t>Felix Becker</t>
        </is>
      </c>
      <c r="F8" s="12" t="inlineStr">
        <is>
          <t>Stuttgart</t>
        </is>
      </c>
      <c r="G8" s="5" t="n">
        <v>46148</v>
      </c>
      <c r="H8" s="6" t="inlineStr">
        <is>
          <t>Implementierung</t>
        </is>
      </c>
      <c r="I8" s="6" t="inlineStr">
        <is>
          <t>Michael Lang</t>
        </is>
      </c>
      <c r="J8" s="7" t="n">
        <v>36</v>
      </c>
      <c r="K8" s="8" t="n">
        <v>130</v>
      </c>
      <c r="L8" s="13">
        <f>J8*K8</f>
        <v/>
      </c>
      <c r="M8" s="8" t="n">
        <v>850</v>
      </c>
      <c r="N8" s="8" t="n">
        <v>140</v>
      </c>
      <c r="O8" s="8" t="n">
        <v>0</v>
      </c>
      <c r="P8" s="13">
        <f>SUM(L8:O8)</f>
        <v/>
      </c>
      <c r="Q8" s="14" t="n">
        <v>0.19</v>
      </c>
      <c r="R8" s="13">
        <f>P8*Q8</f>
        <v/>
      </c>
      <c r="S8" s="13">
        <f>P8+R8</f>
        <v/>
      </c>
      <c r="T8" s="7" t="inlineStr">
        <is>
          <t>RE-2026-006</t>
        </is>
      </c>
      <c r="U8" s="5" t="n">
        <v>46152</v>
      </c>
      <c r="V8" s="5" t="n">
        <v>46182</v>
      </c>
      <c r="W8" s="5" t="n"/>
      <c r="X8" s="7" t="inlineStr">
        <is>
          <t>Teilbezahlt</t>
        </is>
      </c>
      <c r="Y8" s="11">
        <f>IF(AND(X8&lt;&gt;"Bezahlt",V8&lt;TODAY()),"Ja","Nein")</f>
        <v/>
      </c>
      <c r="Z8" s="14">
        <f>IFERROR((P8-(M8+N8+O8))/P8,0)</f>
        <v/>
      </c>
    </row>
    <row r="9">
      <c r="A9" s="3" t="inlineStr">
        <is>
          <t>AB-2026-007</t>
        </is>
      </c>
      <c r="B9" s="3" t="inlineStr">
        <is>
          <t>PRJ-007</t>
        </is>
      </c>
      <c r="C9" s="4" t="inlineStr">
        <is>
          <t>Marketing-Strategie</t>
        </is>
      </c>
      <c r="D9" s="4" t="inlineStr">
        <is>
          <t>Hoffmann Handel KG</t>
        </is>
      </c>
      <c r="E9" s="4" t="inlineStr">
        <is>
          <t>Laura Hoffmann</t>
        </is>
      </c>
      <c r="F9" s="4" t="inlineStr">
        <is>
          <t>Düsseldorf</t>
        </is>
      </c>
      <c r="G9" s="5" t="n">
        <v>46170</v>
      </c>
      <c r="H9" s="6" t="inlineStr">
        <is>
          <t>Beratung</t>
        </is>
      </c>
      <c r="I9" s="6" t="inlineStr">
        <is>
          <t>Anna Koch</t>
        </is>
      </c>
      <c r="J9" s="7" t="n">
        <v>16</v>
      </c>
      <c r="K9" s="8" t="n">
        <v>110</v>
      </c>
      <c r="L9" s="9">
        <f>J9*K9</f>
        <v/>
      </c>
      <c r="M9" s="8" t="n">
        <v>0</v>
      </c>
      <c r="N9" s="8" t="n">
        <v>0</v>
      </c>
      <c r="O9" s="8" t="n">
        <v>0</v>
      </c>
      <c r="P9" s="9">
        <f>SUM(L9:O9)</f>
        <v/>
      </c>
      <c r="Q9" s="10" t="n">
        <v>0.19</v>
      </c>
      <c r="R9" s="9">
        <f>P9*Q9</f>
        <v/>
      </c>
      <c r="S9" s="9">
        <f>P9+R9</f>
        <v/>
      </c>
      <c r="T9" s="7" t="inlineStr">
        <is>
          <t>RE-2026-007</t>
        </is>
      </c>
      <c r="U9" s="5" t="n">
        <v>46175</v>
      </c>
      <c r="V9" s="5" t="n">
        <v>46205</v>
      </c>
      <c r="W9" s="5" t="n"/>
      <c r="X9" s="7" t="inlineStr">
        <is>
          <t>Versendet</t>
        </is>
      </c>
      <c r="Y9" s="3">
        <f>IF(AND(X9&lt;&gt;"Bezahlt",V9&lt;TODAY()),"Ja","Nein")</f>
        <v/>
      </c>
      <c r="Z9" s="10">
        <f>IFERROR((P9-(M9+N9+O9))/P9,0)</f>
        <v/>
      </c>
    </row>
    <row r="10">
      <c r="A10" s="11" t="inlineStr">
        <is>
          <t>AB-2026-008</t>
        </is>
      </c>
      <c r="B10" s="11" t="inlineStr">
        <is>
          <t>PRJ-008</t>
        </is>
      </c>
      <c r="C10" s="12" t="inlineStr">
        <is>
          <t>Datenbank-Modernisierung</t>
        </is>
      </c>
      <c r="D10" s="12" t="inlineStr">
        <is>
          <t>Keller Systemhaus</t>
        </is>
      </c>
      <c r="E10" s="12" t="inlineStr">
        <is>
          <t>Jonas Keller</t>
        </is>
      </c>
      <c r="F10" s="12" t="inlineStr">
        <is>
          <t>Leipzig</t>
        </is>
      </c>
      <c r="G10" s="5" t="n">
        <v>46188</v>
      </c>
      <c r="H10" s="6" t="inlineStr">
        <is>
          <t>Softwareentwicklung</t>
        </is>
      </c>
      <c r="I10" s="6" t="inlineStr">
        <is>
          <t>Jonas Keller</t>
        </is>
      </c>
      <c r="J10" s="7" t="n">
        <v>28</v>
      </c>
      <c r="K10" s="8" t="n">
        <v>120</v>
      </c>
      <c r="L10" s="13">
        <f>J10*K10</f>
        <v/>
      </c>
      <c r="M10" s="8" t="n">
        <v>300</v>
      </c>
      <c r="N10" s="8" t="n">
        <v>0</v>
      </c>
      <c r="O10" s="8" t="n">
        <v>0</v>
      </c>
      <c r="P10" s="13">
        <f>SUM(L10:O10)</f>
        <v/>
      </c>
      <c r="Q10" s="14" t="n">
        <v>0.07000000000000001</v>
      </c>
      <c r="R10" s="13">
        <f>P10*Q10</f>
        <v/>
      </c>
      <c r="S10" s="13">
        <f>P10+R10</f>
        <v/>
      </c>
      <c r="T10" s="7" t="inlineStr">
        <is>
          <t>RE-2026-008</t>
        </is>
      </c>
      <c r="U10" s="5" t="n">
        <v>46193</v>
      </c>
      <c r="V10" s="5" t="n">
        <v>46223</v>
      </c>
      <c r="W10" s="5" t="n"/>
      <c r="X10" s="7" t="inlineStr">
        <is>
          <t>Entwurf</t>
        </is>
      </c>
      <c r="Y10" s="11">
        <f>IF(AND(X10&lt;&gt;"Bezahlt",V10&lt;TODAY()),"Ja","Nein")</f>
        <v/>
      </c>
      <c r="Z10" s="14">
        <f>IFERROR((P10-(M10+N10+O10))/P10,0)</f>
        <v/>
      </c>
    </row>
    <row r="11">
      <c r="A11" s="3" t="inlineStr">
        <is>
          <t>AB-2026-009</t>
        </is>
      </c>
      <c r="B11" s="3" t="inlineStr">
        <is>
          <t>PRJ-009</t>
        </is>
      </c>
      <c r="C11" s="4" t="inlineStr">
        <is>
          <t>Prozessautomatisierung</t>
        </is>
      </c>
      <c r="D11" s="4" t="inlineStr">
        <is>
          <t>Bauer Maschinenbau</t>
        </is>
      </c>
      <c r="E11" s="4" t="inlineStr">
        <is>
          <t>Marie Bauer</t>
        </is>
      </c>
      <c r="F11" s="4" t="inlineStr">
        <is>
          <t>Dortmund</t>
        </is>
      </c>
      <c r="G11" s="5" t="n">
        <v>46211</v>
      </c>
      <c r="H11" s="6" t="inlineStr">
        <is>
          <t>Implementierung</t>
        </is>
      </c>
      <c r="I11" s="6" t="inlineStr">
        <is>
          <t>Paul Neumann</t>
        </is>
      </c>
      <c r="J11" s="7" t="n">
        <v>22</v>
      </c>
      <c r="K11" s="8" t="n">
        <v>140</v>
      </c>
      <c r="L11" s="9">
        <f>J11*K11</f>
        <v/>
      </c>
      <c r="M11" s="8" t="n">
        <v>450</v>
      </c>
      <c r="N11" s="8" t="n">
        <v>95</v>
      </c>
      <c r="O11" s="8" t="n">
        <v>0</v>
      </c>
      <c r="P11" s="9">
        <f>SUM(L11:O11)</f>
        <v/>
      </c>
      <c r="Q11" s="10" t="n">
        <v>0.19</v>
      </c>
      <c r="R11" s="9">
        <f>P11*Q11</f>
        <v/>
      </c>
      <c r="S11" s="9">
        <f>P11+R11</f>
        <v/>
      </c>
      <c r="T11" s="7" t="inlineStr">
        <is>
          <t>RE-2026-009</t>
        </is>
      </c>
      <c r="U11" s="5" t="n">
        <v>46215</v>
      </c>
      <c r="V11" s="5" t="n">
        <v>46245</v>
      </c>
      <c r="W11" s="5" t="n"/>
      <c r="X11" s="7" t="inlineStr">
        <is>
          <t>Versendet</t>
        </is>
      </c>
      <c r="Y11" s="3">
        <f>IF(AND(X11&lt;&gt;"Bezahlt",V11&lt;TODAY()),"Ja","Nein")</f>
        <v/>
      </c>
      <c r="Z11" s="10">
        <f>IFERROR((P11-(M11+N11+O11))/P11,0)</f>
        <v/>
      </c>
    </row>
    <row r="12">
      <c r="A12" s="11" t="inlineStr">
        <is>
          <t>AB-2026-010</t>
        </is>
      </c>
      <c r="B12" s="11" t="inlineStr">
        <is>
          <t>PRJ-010</t>
        </is>
      </c>
      <c r="C12" s="12" t="inlineStr">
        <is>
          <t>IT-Sicherheitsaudit</t>
        </is>
      </c>
      <c r="D12" s="12" t="inlineStr">
        <is>
          <t>Richter Rechtsanwälte</t>
        </is>
      </c>
      <c r="E12" s="12" t="inlineStr">
        <is>
          <t>Paul Richter</t>
        </is>
      </c>
      <c r="F12" s="12" t="inlineStr">
        <is>
          <t>Bremen</t>
        </is>
      </c>
      <c r="G12" s="5" t="n">
        <v>46231</v>
      </c>
      <c r="H12" s="6" t="inlineStr">
        <is>
          <t>Beratung</t>
        </is>
      </c>
      <c r="I12" s="6" t="inlineStr">
        <is>
          <t>Julia Brandt</t>
        </is>
      </c>
      <c r="J12" s="7" t="n">
        <v>10</v>
      </c>
      <c r="K12" s="8" t="n">
        <v>115</v>
      </c>
      <c r="L12" s="13">
        <f>J12*K12</f>
        <v/>
      </c>
      <c r="M12" s="8" t="n">
        <v>0</v>
      </c>
      <c r="N12" s="8" t="n">
        <v>75</v>
      </c>
      <c r="O12" s="8" t="n">
        <v>0</v>
      </c>
      <c r="P12" s="13">
        <f>SUM(L12:O12)</f>
        <v/>
      </c>
      <c r="Q12" s="14" t="n">
        <v>0.19</v>
      </c>
      <c r="R12" s="13">
        <f>P12*Q12</f>
        <v/>
      </c>
      <c r="S12" s="13">
        <f>P12+R12</f>
        <v/>
      </c>
      <c r="T12" s="7" t="inlineStr">
        <is>
          <t>RE-2026-010</t>
        </is>
      </c>
      <c r="U12" s="5" t="n">
        <v>46233</v>
      </c>
      <c r="V12" s="5" t="n">
        <v>46263</v>
      </c>
      <c r="W12" s="5" t="n"/>
      <c r="X12" s="7" t="inlineStr">
        <is>
          <t>Entwurf</t>
        </is>
      </c>
      <c r="Y12" s="11">
        <f>IF(AND(X12&lt;&gt;"Bezahlt",V12&lt;TODAY()),"Ja","Nein")</f>
        <v/>
      </c>
      <c r="Z12" s="14">
        <f>IFERROR((P12-(M12+N12+O12))/P12,0)</f>
        <v/>
      </c>
    </row>
    <row r="13">
      <c r="I13" s="15" t="inlineStr">
        <is>
          <t>Summen:</t>
        </is>
      </c>
      <c r="J13" s="16">
        <f>SUM(J3:J12)</f>
        <v/>
      </c>
      <c r="L13" s="17">
        <f>SUM(L3:L12)</f>
        <v/>
      </c>
      <c r="M13" s="17">
        <f>SUM(M3:M12)</f>
        <v/>
      </c>
      <c r="N13" s="17">
        <f>SUM(N3:N12)</f>
        <v/>
      </c>
      <c r="O13" s="17">
        <f>SUM(O3:O12)</f>
        <v/>
      </c>
      <c r="P13" s="17">
        <f>SUM(P3:P12)</f>
        <v/>
      </c>
      <c r="R13" s="17">
        <f>SUM(R3:R12)</f>
        <v/>
      </c>
      <c r="S13" s="17">
        <f>SUM(S3:S12)</f>
        <v/>
      </c>
    </row>
  </sheetData>
  <mergeCells count="1">
    <mergeCell ref="A1:Z1"/>
  </mergeCells>
  <conditionalFormatting sqref="Y3:Y12">
    <cfRule type="cellIs" priority="1" operator="equal" dxfId="0">
      <formula>"Ja"</formula>
    </cfRule>
  </conditionalFormatting>
  <conditionalFormatting sqref="X3:X12">
    <cfRule type="cellIs" priority="2" operator="equal" dxfId="1">
      <formula>"Bezahlt"</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N12"/>
  <sheetViews>
    <sheetView workbookViewId="0">
      <pane ySplit="2" topLeftCell="A3" activePane="bottomLeft" state="frozen"/>
      <selection pane="bottomLeft" activeCell="A1" sqref="A1"/>
    </sheetView>
  </sheetViews>
  <sheetFormatPr baseColWidth="8" defaultRowHeight="15"/>
  <cols>
    <col width="10" customWidth="1" min="1" max="1"/>
    <col width="24" customWidth="1" min="2" max="2"/>
    <col width="24" customWidth="1" min="3" max="3"/>
    <col width="15" customWidth="1" min="4" max="4"/>
    <col width="13" customWidth="1" min="5" max="5"/>
    <col width="16" customWidth="1" min="6" max="6"/>
    <col width="16" customWidth="1" min="7" max="7"/>
    <col width="14" customWidth="1" min="8" max="8"/>
    <col width="14" customWidth="1" min="9" max="9"/>
    <col width="12" customWidth="1" min="10" max="10"/>
    <col width="18" customWidth="1" min="11" max="11"/>
    <col width="16" customWidth="1" min="12" max="12"/>
    <col width="14" customWidth="1" min="13" max="13"/>
    <col width="16" customWidth="1" min="14" max="14"/>
  </cols>
  <sheetData>
    <row r="1" ht="24" customHeight="1">
      <c r="A1" s="18" t="inlineStr">
        <is>
          <t>Projektübersicht – Kennzahlen für die Geschäftsführung</t>
        </is>
      </c>
    </row>
    <row r="2" ht="32" customHeight="1">
      <c r="A2" s="2" t="inlineStr">
        <is>
          <t>Projekt-ID</t>
        </is>
      </c>
      <c r="B2" s="2" t="inlineStr">
        <is>
          <t>Projektname</t>
        </is>
      </c>
      <c r="C2" s="2" t="inlineStr">
        <is>
          <t>Kunde</t>
        </is>
      </c>
      <c r="D2" s="2" t="inlineStr">
        <is>
          <t>Projektleiter</t>
        </is>
      </c>
      <c r="E2" s="2" t="inlineStr">
        <is>
          <t>Budget netto</t>
        </is>
      </c>
      <c r="F2" s="2" t="inlineStr">
        <is>
          <t>Abgerechnet netto</t>
        </is>
      </c>
      <c r="G2" s="2" t="inlineStr">
        <is>
          <t>Abgerechnet brutto</t>
        </is>
      </c>
      <c r="H2" s="2" t="inlineStr">
        <is>
          <t>Offener Betrag</t>
        </is>
      </c>
      <c r="I2" s="2" t="inlineStr">
        <is>
          <t>Projektstatus</t>
        </is>
      </c>
      <c r="J2" s="2" t="inlineStr">
        <is>
          <t>Anzahl Positionen</t>
        </is>
      </c>
      <c r="K2" s="2" t="inlineStr">
        <is>
          <t>Durchschnittlicher Stundensatz</t>
        </is>
      </c>
      <c r="L2" s="2" t="inlineStr">
        <is>
          <t>Budgetauslastung %</t>
        </is>
      </c>
      <c r="M2" s="2" t="inlineStr">
        <is>
          <t>Offene Rechnungen</t>
        </is>
      </c>
      <c r="N2" s="2" t="inlineStr">
        <is>
          <t>Überfällige Rechnungen</t>
        </is>
      </c>
    </row>
    <row r="3">
      <c r="A3" s="3" t="inlineStr">
        <is>
          <t>PRJ-001</t>
        </is>
      </c>
      <c r="B3" s="4">
        <f>IFERROR(VLOOKUP(A3,Projektabrechnung!B:C,2,FALSE),"Nicht gefunden")</f>
        <v/>
      </c>
      <c r="C3" s="4">
        <f>IFERROR(VLOOKUP(A3,Projektabrechnung!B:D,3,FALSE),"Nicht gefunden")</f>
        <v/>
      </c>
      <c r="D3" s="4" t="inlineStr">
        <is>
          <t>Thomas Berger</t>
        </is>
      </c>
      <c r="E3" s="9" t="n">
        <v>4000</v>
      </c>
      <c r="F3" s="9">
        <f>SUMIF(Projektabrechnung!B:B,A3,Projektabrechnung!P:P)</f>
        <v/>
      </c>
      <c r="G3" s="9">
        <f>SUMIF(Projektabrechnung!B:B,A3,Projektabrechnung!S:S)</f>
        <v/>
      </c>
      <c r="H3" s="9">
        <f>SUMIFS(Projektabrechnung!S:S,Projektabrechnung!B:B,A3,Projektabrechnung!X:X,"&lt;&gt;Bezahlt")</f>
        <v/>
      </c>
      <c r="I3" s="3" t="inlineStr">
        <is>
          <t>Aktiv</t>
        </is>
      </c>
      <c r="J3" s="3">
        <f>COUNTIF(Projektabrechnung!B:B,A3)</f>
        <v/>
      </c>
      <c r="K3" s="9">
        <f>IFERROR(AVERAGEIF(Projektabrechnung!B:B,A3,Projektabrechnung!K:K),0)</f>
        <v/>
      </c>
      <c r="L3" s="10">
        <f>IFERROR(F3/E3,0)</f>
        <v/>
      </c>
      <c r="M3" s="3">
        <f>COUNTIFS(Projektabrechnung!B:B,A3,Projektabrechnung!X:X,"&lt;&gt;Bezahlt")</f>
        <v/>
      </c>
      <c r="N3" s="3">
        <f>COUNTIFS(Projektabrechnung!B:B,A3,Projektabrechnung!Y:Y,"Ja")</f>
        <v/>
      </c>
    </row>
    <row r="4">
      <c r="A4" s="11" t="inlineStr">
        <is>
          <t>PRJ-002</t>
        </is>
      </c>
      <c r="B4" s="12">
        <f>IFERROR(VLOOKUP(A4,Projektabrechnung!B:C,2,FALSE),"Nicht gefunden")</f>
        <v/>
      </c>
      <c r="C4" s="12">
        <f>IFERROR(VLOOKUP(A4,Projektabrechnung!B:D,3,FALSE),"Nicht gefunden")</f>
        <v/>
      </c>
      <c r="D4" s="12" t="inlineStr">
        <is>
          <t>Lukas Stein</t>
        </is>
      </c>
      <c r="E4" s="13" t="n">
        <v>6000</v>
      </c>
      <c r="F4" s="13">
        <f>SUMIF(Projektabrechnung!B:B,A4,Projektabrechnung!P:P)</f>
        <v/>
      </c>
      <c r="G4" s="13">
        <f>SUMIF(Projektabrechnung!B:B,A4,Projektabrechnung!S:S)</f>
        <v/>
      </c>
      <c r="H4" s="13">
        <f>SUMIFS(Projektabrechnung!S:S,Projektabrechnung!B:B,A4,Projektabrechnung!X:X,"&lt;&gt;Bezahlt")</f>
        <v/>
      </c>
      <c r="I4" s="11" t="inlineStr">
        <is>
          <t>Abgeschlossen</t>
        </is>
      </c>
      <c r="J4" s="11">
        <f>COUNTIF(Projektabrechnung!B:B,A4)</f>
        <v/>
      </c>
      <c r="K4" s="13">
        <f>IFERROR(AVERAGEIF(Projektabrechnung!B:B,A4,Projektabrechnung!K:K),0)</f>
        <v/>
      </c>
      <c r="L4" s="14">
        <f>IFERROR(F4/E4,0)</f>
        <v/>
      </c>
      <c r="M4" s="11">
        <f>COUNTIFS(Projektabrechnung!B:B,A4,Projektabrechnung!X:X,"&lt;&gt;Bezahlt")</f>
        <v/>
      </c>
      <c r="N4" s="11">
        <f>COUNTIFS(Projektabrechnung!B:B,A4,Projektabrechnung!Y:Y,"Ja")</f>
        <v/>
      </c>
    </row>
    <row r="5">
      <c r="A5" s="3" t="inlineStr">
        <is>
          <t>PRJ-003</t>
        </is>
      </c>
      <c r="B5" s="4">
        <f>IFERROR(VLOOKUP(A5,Projektabrechnung!B:C,2,FALSE),"Nicht gefunden")</f>
        <v/>
      </c>
      <c r="C5" s="4">
        <f>IFERROR(VLOOKUP(A5,Projektabrechnung!B:D,3,FALSE),"Nicht gefunden")</f>
        <v/>
      </c>
      <c r="D5" s="4" t="inlineStr">
        <is>
          <t>Sabine Krause</t>
        </is>
      </c>
      <c r="E5" s="9" t="n">
        <v>3500</v>
      </c>
      <c r="F5" s="9">
        <f>SUMIF(Projektabrechnung!B:B,A5,Projektabrechnung!P:P)</f>
        <v/>
      </c>
      <c r="G5" s="9">
        <f>SUMIF(Projektabrechnung!B:B,A5,Projektabrechnung!S:S)</f>
        <v/>
      </c>
      <c r="H5" s="9">
        <f>SUMIFS(Projektabrechnung!S:S,Projektabrechnung!B:B,A5,Projektabrechnung!X:X,"&lt;&gt;Bezahlt")</f>
        <v/>
      </c>
      <c r="I5" s="3" t="inlineStr">
        <is>
          <t>Aktiv</t>
        </is>
      </c>
      <c r="J5" s="3">
        <f>COUNTIF(Projektabrechnung!B:B,A5)</f>
        <v/>
      </c>
      <c r="K5" s="9">
        <f>IFERROR(AVERAGEIF(Projektabrechnung!B:B,A5,Projektabrechnung!K:K),0)</f>
        <v/>
      </c>
      <c r="L5" s="10">
        <f>IFERROR(F5/E5,0)</f>
        <v/>
      </c>
      <c r="M5" s="3">
        <f>COUNTIFS(Projektabrechnung!B:B,A5,Projektabrechnung!X:X,"&lt;&gt;Bezahlt")</f>
        <v/>
      </c>
      <c r="N5" s="3">
        <f>COUNTIFS(Projektabrechnung!B:B,A5,Projektabrechnung!Y:Y,"Ja")</f>
        <v/>
      </c>
    </row>
    <row r="6">
      <c r="A6" s="11" t="inlineStr">
        <is>
          <t>PRJ-004</t>
        </is>
      </c>
      <c r="B6" s="12">
        <f>IFERROR(VLOOKUP(A6,Projektabrechnung!B:C,2,FALSE),"Nicht gefunden")</f>
        <v/>
      </c>
      <c r="C6" s="12">
        <f>IFERROR(VLOOKUP(A6,Projektabrechnung!B:D,3,FALSE),"Nicht gefunden")</f>
        <v/>
      </c>
      <c r="D6" s="12" t="inlineStr">
        <is>
          <t>Laura Brandt</t>
        </is>
      </c>
      <c r="E6" s="13" t="n">
        <v>3200</v>
      </c>
      <c r="F6" s="13">
        <f>SUMIF(Projektabrechnung!B:B,A6,Projektabrechnung!P:P)</f>
        <v/>
      </c>
      <c r="G6" s="13">
        <f>SUMIF(Projektabrechnung!B:B,A6,Projektabrechnung!S:S)</f>
        <v/>
      </c>
      <c r="H6" s="13">
        <f>SUMIFS(Projektabrechnung!S:S,Projektabrechnung!B:B,A6,Projektabrechnung!X:X,"&lt;&gt;Bezahlt")</f>
        <v/>
      </c>
      <c r="I6" s="11" t="inlineStr">
        <is>
          <t>Abgeschlossen</t>
        </is>
      </c>
      <c r="J6" s="11">
        <f>COUNTIF(Projektabrechnung!B:B,A6)</f>
        <v/>
      </c>
      <c r="K6" s="13">
        <f>IFERROR(AVERAGEIF(Projektabrechnung!B:B,A6,Projektabrechnung!K:K),0)</f>
        <v/>
      </c>
      <c r="L6" s="14">
        <f>IFERROR(F6/E6,0)</f>
        <v/>
      </c>
      <c r="M6" s="11">
        <f>COUNTIFS(Projektabrechnung!B:B,A6,Projektabrechnung!X:X,"&lt;&gt;Bezahlt")</f>
        <v/>
      </c>
      <c r="N6" s="11">
        <f>COUNTIFS(Projektabrechnung!B:B,A6,Projektabrechnung!Y:Y,"Ja")</f>
        <v/>
      </c>
    </row>
    <row r="7">
      <c r="A7" s="3" t="inlineStr">
        <is>
          <t>PRJ-005</t>
        </is>
      </c>
      <c r="B7" s="4">
        <f>IFERROR(VLOOKUP(A7,Projektabrechnung!B:C,2,FALSE),"Nicht gefunden")</f>
        <v/>
      </c>
      <c r="C7" s="4">
        <f>IFERROR(VLOOKUP(A7,Projektabrechnung!B:D,3,FALSE),"Nicht gefunden")</f>
        <v/>
      </c>
      <c r="D7" s="4" t="inlineStr">
        <is>
          <t>Stefan Roth</t>
        </is>
      </c>
      <c r="E7" s="9" t="n">
        <v>1500</v>
      </c>
      <c r="F7" s="9">
        <f>SUMIF(Projektabrechnung!B:B,A7,Projektabrechnung!P:P)</f>
        <v/>
      </c>
      <c r="G7" s="9">
        <f>SUMIF(Projektabrechnung!B:B,A7,Projektabrechnung!S:S)</f>
        <v/>
      </c>
      <c r="H7" s="9">
        <f>SUMIFS(Projektabrechnung!S:S,Projektabrechnung!B:B,A7,Projektabrechnung!X:X,"&lt;&gt;Bezahlt")</f>
        <v/>
      </c>
      <c r="I7" s="3" t="inlineStr">
        <is>
          <t>Aktiv</t>
        </is>
      </c>
      <c r="J7" s="3">
        <f>COUNTIF(Projektabrechnung!B:B,A7)</f>
        <v/>
      </c>
      <c r="K7" s="9">
        <f>IFERROR(AVERAGEIF(Projektabrechnung!B:B,A7,Projektabrechnung!K:K),0)</f>
        <v/>
      </c>
      <c r="L7" s="10">
        <f>IFERROR(F7/E7,0)</f>
        <v/>
      </c>
      <c r="M7" s="3">
        <f>COUNTIFS(Projektabrechnung!B:B,A7,Projektabrechnung!X:X,"&lt;&gt;Bezahlt")</f>
        <v/>
      </c>
      <c r="N7" s="3">
        <f>COUNTIFS(Projektabrechnung!B:B,A7,Projektabrechnung!Y:Y,"Ja")</f>
        <v/>
      </c>
    </row>
    <row r="8">
      <c r="A8" s="11" t="inlineStr">
        <is>
          <t>PRJ-006</t>
        </is>
      </c>
      <c r="B8" s="12">
        <f>IFERROR(VLOOKUP(A8,Projektabrechnung!B:C,2,FALSE),"Nicht gefunden")</f>
        <v/>
      </c>
      <c r="C8" s="12">
        <f>IFERROR(VLOOKUP(A8,Projektabrechnung!B:D,3,FALSE),"Nicht gefunden")</f>
        <v/>
      </c>
      <c r="D8" s="12" t="inlineStr">
        <is>
          <t>Michael Lang</t>
        </is>
      </c>
      <c r="E8" s="13" t="n">
        <v>6500</v>
      </c>
      <c r="F8" s="13">
        <f>SUMIF(Projektabrechnung!B:B,A8,Projektabrechnung!P:P)</f>
        <v/>
      </c>
      <c r="G8" s="13">
        <f>SUMIF(Projektabrechnung!B:B,A8,Projektabrechnung!S:S)</f>
        <v/>
      </c>
      <c r="H8" s="13">
        <f>SUMIFS(Projektabrechnung!S:S,Projektabrechnung!B:B,A8,Projektabrechnung!X:X,"&lt;&gt;Bezahlt")</f>
        <v/>
      </c>
      <c r="I8" s="11" t="inlineStr">
        <is>
          <t>Aktiv</t>
        </is>
      </c>
      <c r="J8" s="11">
        <f>COUNTIF(Projektabrechnung!B:B,A8)</f>
        <v/>
      </c>
      <c r="K8" s="13">
        <f>IFERROR(AVERAGEIF(Projektabrechnung!B:B,A8,Projektabrechnung!K:K),0)</f>
        <v/>
      </c>
      <c r="L8" s="14">
        <f>IFERROR(F8/E8,0)</f>
        <v/>
      </c>
      <c r="M8" s="11">
        <f>COUNTIFS(Projektabrechnung!B:B,A8,Projektabrechnung!X:X,"&lt;&gt;Bezahlt")</f>
        <v/>
      </c>
      <c r="N8" s="11">
        <f>COUNTIFS(Projektabrechnung!B:B,A8,Projektabrechnung!Y:Y,"Ja")</f>
        <v/>
      </c>
    </row>
    <row r="9">
      <c r="A9" s="3" t="inlineStr">
        <is>
          <t>PRJ-007</t>
        </is>
      </c>
      <c r="B9" s="4">
        <f>IFERROR(VLOOKUP(A9,Projektabrechnung!B:C,2,FALSE),"Nicht gefunden")</f>
        <v/>
      </c>
      <c r="C9" s="4">
        <f>IFERROR(VLOOKUP(A9,Projektabrechnung!B:D,3,FALSE),"Nicht gefunden")</f>
        <v/>
      </c>
      <c r="D9" s="4" t="inlineStr">
        <is>
          <t>Anna Koch</t>
        </is>
      </c>
      <c r="E9" s="9" t="n">
        <v>2500</v>
      </c>
      <c r="F9" s="9">
        <f>SUMIF(Projektabrechnung!B:B,A9,Projektabrechnung!P:P)</f>
        <v/>
      </c>
      <c r="G9" s="9">
        <f>SUMIF(Projektabrechnung!B:B,A9,Projektabrechnung!S:S)</f>
        <v/>
      </c>
      <c r="H9" s="9">
        <f>SUMIFS(Projektabrechnung!S:S,Projektabrechnung!B:B,A9,Projektabrechnung!X:X,"&lt;&gt;Bezahlt")</f>
        <v/>
      </c>
      <c r="I9" s="3" t="inlineStr">
        <is>
          <t>Aktiv</t>
        </is>
      </c>
      <c r="J9" s="3">
        <f>COUNTIF(Projektabrechnung!B:B,A9)</f>
        <v/>
      </c>
      <c r="K9" s="9">
        <f>IFERROR(AVERAGEIF(Projektabrechnung!B:B,A9,Projektabrechnung!K:K),0)</f>
        <v/>
      </c>
      <c r="L9" s="10">
        <f>IFERROR(F9/E9,0)</f>
        <v/>
      </c>
      <c r="M9" s="3">
        <f>COUNTIFS(Projektabrechnung!B:B,A9,Projektabrechnung!X:X,"&lt;&gt;Bezahlt")</f>
        <v/>
      </c>
      <c r="N9" s="3">
        <f>COUNTIFS(Projektabrechnung!B:B,A9,Projektabrechnung!Y:Y,"Ja")</f>
        <v/>
      </c>
    </row>
    <row r="10">
      <c r="A10" s="11" t="inlineStr">
        <is>
          <t>PRJ-008</t>
        </is>
      </c>
      <c r="B10" s="12">
        <f>IFERROR(VLOOKUP(A10,Projektabrechnung!B:C,2,FALSE),"Nicht gefunden")</f>
        <v/>
      </c>
      <c r="C10" s="12">
        <f>IFERROR(VLOOKUP(A10,Projektabrechnung!B:D,3,FALSE),"Nicht gefunden")</f>
        <v/>
      </c>
      <c r="D10" s="12" t="inlineStr">
        <is>
          <t>Jonas Keller</t>
        </is>
      </c>
      <c r="E10" s="13" t="n">
        <v>5000</v>
      </c>
      <c r="F10" s="13">
        <f>SUMIF(Projektabrechnung!B:B,A10,Projektabrechnung!P:P)</f>
        <v/>
      </c>
      <c r="G10" s="13">
        <f>SUMIF(Projektabrechnung!B:B,A10,Projektabrechnung!S:S)</f>
        <v/>
      </c>
      <c r="H10" s="13">
        <f>SUMIFS(Projektabrechnung!S:S,Projektabrechnung!B:B,A10,Projektabrechnung!X:X,"&lt;&gt;Bezahlt")</f>
        <v/>
      </c>
      <c r="I10" s="11" t="inlineStr">
        <is>
          <t>On Hold</t>
        </is>
      </c>
      <c r="J10" s="11">
        <f>COUNTIF(Projektabrechnung!B:B,A10)</f>
        <v/>
      </c>
      <c r="K10" s="13">
        <f>IFERROR(AVERAGEIF(Projektabrechnung!B:B,A10,Projektabrechnung!K:K),0)</f>
        <v/>
      </c>
      <c r="L10" s="14">
        <f>IFERROR(F10/E10,0)</f>
        <v/>
      </c>
      <c r="M10" s="11">
        <f>COUNTIFS(Projektabrechnung!B:B,A10,Projektabrechnung!X:X,"&lt;&gt;Bezahlt")</f>
        <v/>
      </c>
      <c r="N10" s="11">
        <f>COUNTIFS(Projektabrechnung!B:B,A10,Projektabrechnung!Y:Y,"Ja")</f>
        <v/>
      </c>
    </row>
    <row r="11">
      <c r="A11" s="3" t="inlineStr">
        <is>
          <t>PRJ-009</t>
        </is>
      </c>
      <c r="B11" s="4">
        <f>IFERROR(VLOOKUP(A11,Projektabrechnung!B:C,2,FALSE),"Nicht gefunden")</f>
        <v/>
      </c>
      <c r="C11" s="4">
        <f>IFERROR(VLOOKUP(A11,Projektabrechnung!B:D,3,FALSE),"Nicht gefunden")</f>
        <v/>
      </c>
      <c r="D11" s="4" t="inlineStr">
        <is>
          <t>Paul Neumann</t>
        </is>
      </c>
      <c r="E11" s="9" t="n">
        <v>4200</v>
      </c>
      <c r="F11" s="9">
        <f>SUMIF(Projektabrechnung!B:B,A11,Projektabrechnung!P:P)</f>
        <v/>
      </c>
      <c r="G11" s="9">
        <f>SUMIF(Projektabrechnung!B:B,A11,Projektabrechnung!S:S)</f>
        <v/>
      </c>
      <c r="H11" s="9">
        <f>SUMIFS(Projektabrechnung!S:S,Projektabrechnung!B:B,A11,Projektabrechnung!X:X,"&lt;&gt;Bezahlt")</f>
        <v/>
      </c>
      <c r="I11" s="3" t="inlineStr">
        <is>
          <t>Aktiv</t>
        </is>
      </c>
      <c r="J11" s="3">
        <f>COUNTIF(Projektabrechnung!B:B,A11)</f>
        <v/>
      </c>
      <c r="K11" s="9">
        <f>IFERROR(AVERAGEIF(Projektabrechnung!B:B,A11,Projektabrechnung!K:K),0)</f>
        <v/>
      </c>
      <c r="L11" s="10">
        <f>IFERROR(F11/E11,0)</f>
        <v/>
      </c>
      <c r="M11" s="3">
        <f>COUNTIFS(Projektabrechnung!B:B,A11,Projektabrechnung!X:X,"&lt;&gt;Bezahlt")</f>
        <v/>
      </c>
      <c r="N11" s="3">
        <f>COUNTIFS(Projektabrechnung!B:B,A11,Projektabrechnung!Y:Y,"Ja")</f>
        <v/>
      </c>
    </row>
    <row r="12">
      <c r="A12" s="11" t="inlineStr">
        <is>
          <t>PRJ-010</t>
        </is>
      </c>
      <c r="B12" s="12">
        <f>IFERROR(VLOOKUP(A12,Projektabrechnung!B:C,2,FALSE),"Nicht gefunden")</f>
        <v/>
      </c>
      <c r="C12" s="12">
        <f>IFERROR(VLOOKUP(A12,Projektabrechnung!B:D,3,FALSE),"Nicht gefunden")</f>
        <v/>
      </c>
      <c r="D12" s="12" t="inlineStr">
        <is>
          <t>Julia Brandt</t>
        </is>
      </c>
      <c r="E12" s="13" t="n">
        <v>2000</v>
      </c>
      <c r="F12" s="13">
        <f>SUMIF(Projektabrechnung!B:B,A12,Projektabrechnung!P:P)</f>
        <v/>
      </c>
      <c r="G12" s="13">
        <f>SUMIF(Projektabrechnung!B:B,A12,Projektabrechnung!S:S)</f>
        <v/>
      </c>
      <c r="H12" s="13">
        <f>SUMIFS(Projektabrechnung!S:S,Projektabrechnung!B:B,A12,Projektabrechnung!X:X,"&lt;&gt;Bezahlt")</f>
        <v/>
      </c>
      <c r="I12" s="11" t="inlineStr">
        <is>
          <t>Aktiv</t>
        </is>
      </c>
      <c r="J12" s="11">
        <f>COUNTIF(Projektabrechnung!B:B,A12)</f>
        <v/>
      </c>
      <c r="K12" s="13">
        <f>IFERROR(AVERAGEIF(Projektabrechnung!B:B,A12,Projektabrechnung!K:K),0)</f>
        <v/>
      </c>
      <c r="L12" s="14">
        <f>IFERROR(F12/E12,0)</f>
        <v/>
      </c>
      <c r="M12" s="11">
        <f>COUNTIFS(Projektabrechnung!B:B,A12,Projektabrechnung!X:X,"&lt;&gt;Bezahlt")</f>
        <v/>
      </c>
      <c r="N12" s="11">
        <f>COUNTIFS(Projektabrechnung!B:B,A12,Projektabrechnung!Y:Y,"Ja")</f>
        <v/>
      </c>
    </row>
  </sheetData>
  <mergeCells count="1">
    <mergeCell ref="A1:N1"/>
  </mergeCells>
  <conditionalFormatting sqref="L3:L12">
    <cfRule type="cellIs" priority="1" operator="greaterThan" dxfId="0">
      <formula>1</formula>
    </cfRule>
    <cfRule type="cellIs" priority="2" operator="between" dxfId="2">
      <formula>0.80001</formula>
      <formula>1</formula>
    </cfRule>
    <cfRule type="cellIs" priority="3" operator="lessThanOrEqual" dxfId="1">
      <formula>0.8</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48"/>
  <sheetViews>
    <sheetView workbookViewId="0">
      <selection activeCell="A1" sqref="A1"/>
    </sheetView>
  </sheetViews>
  <sheetFormatPr baseColWidth="8" defaultRowHeight="15"/>
  <cols>
    <col width="26" customWidth="1" min="1" max="1"/>
    <col width="16" customWidth="1" min="2" max="2"/>
    <col width="3" customWidth="1" min="3" max="3"/>
    <col width="26" customWidth="1" min="4" max="4"/>
    <col width="16" customWidth="1" min="5" max="5"/>
    <col width="3" customWidth="1" min="6" max="6"/>
    <col width="12" customWidth="1" min="7" max="7"/>
    <col width="14" customWidth="1" min="8" max="8"/>
  </cols>
  <sheetData>
    <row r="1" ht="26" customHeight="1">
      <c r="A1" s="18" t="inlineStr">
        <is>
          <t>Dashboard – Projekt-Kennzahlen 2026</t>
        </is>
      </c>
    </row>
    <row r="3">
      <c r="A3" s="19" t="inlineStr">
        <is>
          <t>Netto-Umsatz gesamt</t>
        </is>
      </c>
      <c r="B3" s="20" t="n"/>
      <c r="D3" s="19" t="inlineStr">
        <is>
          <t>Brutto-Umsatz gesamt</t>
        </is>
      </c>
      <c r="E3" s="20" t="n"/>
    </row>
    <row r="4">
      <c r="A4" s="21">
        <f>SUM(Projektabrechnung!P:P)</f>
        <v/>
      </c>
      <c r="B4" s="22" t="n"/>
      <c r="D4" s="21">
        <f>SUM(Projektabrechnung!S:S)</f>
        <v/>
      </c>
      <c r="E4" s="22" t="n"/>
    </row>
    <row r="6">
      <c r="A6" s="19" t="inlineStr">
        <is>
          <t>Umsatzsteuer gesamt</t>
        </is>
      </c>
      <c r="B6" s="20" t="n"/>
      <c r="D6" s="19" t="inlineStr">
        <is>
          <t>Anzahl Projekte</t>
        </is>
      </c>
      <c r="E6" s="20" t="n"/>
    </row>
    <row r="7">
      <c r="A7" s="21">
        <f>SUM(Projektabrechnung!R:R)</f>
        <v/>
      </c>
      <c r="B7" s="22" t="n"/>
      <c r="D7" s="23">
        <f>COUNTA(Projektübersicht!A3:A12)</f>
        <v/>
      </c>
      <c r="E7" s="22" t="n"/>
    </row>
    <row r="9">
      <c r="A9" s="19" t="inlineStr">
        <is>
          <t>Anzahl Rechnungen</t>
        </is>
      </c>
      <c r="B9" s="20" t="n"/>
      <c r="D9" s="19" t="inlineStr">
        <is>
          <t>Bezahlte Rechnungen</t>
        </is>
      </c>
      <c r="E9" s="20" t="n"/>
    </row>
    <row r="10">
      <c r="A10" s="23">
        <f>COUNTA(Projektabrechnung!T3:T12)</f>
        <v/>
      </c>
      <c r="B10" s="22" t="n"/>
      <c r="D10" s="23">
        <f>COUNTIF(Projektabrechnung!X:X,"Bezahlt")</f>
        <v/>
      </c>
      <c r="E10" s="22" t="n"/>
    </row>
    <row r="12">
      <c r="A12" s="19" t="inlineStr">
        <is>
          <t>Offener Rechnungsbetrag</t>
        </is>
      </c>
      <c r="B12" s="20" t="n"/>
      <c r="D12" s="19" t="inlineStr">
        <is>
          <t>Überfälliger Betrag</t>
        </is>
      </c>
      <c r="E12" s="20" t="n"/>
    </row>
    <row r="13">
      <c r="A13" s="21">
        <f>SUMIF(Projektabrechnung!X:X,"&lt;&gt;Bezahlt",Projektabrechnung!S:S)</f>
        <v/>
      </c>
      <c r="B13" s="22" t="n"/>
      <c r="D13" s="21">
        <f>SUMIF(Projektabrechnung!Y:Y,"Ja",Projektabrechnung!S:S)</f>
        <v/>
      </c>
      <c r="E13" s="22" t="n"/>
    </row>
    <row r="15">
      <c r="A15" s="19" t="inlineStr">
        <is>
          <t>Durchschnittlicher Stundensatz</t>
        </is>
      </c>
      <c r="B15" s="20" t="n"/>
      <c r="D15" s="19" t="inlineStr">
        <is>
          <t>Durchschnittliche Gewinnmarge</t>
        </is>
      </c>
      <c r="E15" s="20" t="n"/>
    </row>
    <row r="16">
      <c r="A16" s="21">
        <f>IFERROR(AVERAGE(Projektabrechnung!K3:K12),0)</f>
        <v/>
      </c>
      <c r="B16" s="22" t="n"/>
      <c r="D16" s="24">
        <f>IFERROR(AVERAGE(Projektabrechnung!Z3:Z12),0)</f>
        <v/>
      </c>
      <c r="E16" s="22" t="n"/>
    </row>
    <row r="40">
      <c r="A40" s="25" t="inlineStr">
        <is>
          <t>Hilfsdaten Diagramme</t>
        </is>
      </c>
    </row>
    <row r="41">
      <c r="A41" s="26" t="inlineStr">
        <is>
          <t>Rechnungsstatus</t>
        </is>
      </c>
      <c r="B41" s="26" t="inlineStr">
        <is>
          <t>Anzahl</t>
        </is>
      </c>
      <c r="D41" s="26" t="inlineStr">
        <is>
          <t>Leistungsart</t>
        </is>
      </c>
      <c r="E41" s="26" t="inlineStr">
        <is>
          <t>Netto-Umsatz</t>
        </is>
      </c>
      <c r="G41" s="26" t="inlineStr">
        <is>
          <t>Monat</t>
        </is>
      </c>
      <c r="H41" s="26" t="inlineStr">
        <is>
          <t>Netto-Umsatz</t>
        </is>
      </c>
    </row>
    <row r="42">
      <c r="A42" s="26" t="inlineStr">
        <is>
          <t>Entwurf</t>
        </is>
      </c>
      <c r="B42" s="26">
        <f>COUNTIF(Projektabrechnung!X:X,A42)</f>
        <v/>
      </c>
      <c r="D42" s="26" t="inlineStr">
        <is>
          <t>Beratung</t>
        </is>
      </c>
      <c r="E42" s="27">
        <f>SUMIF(Projektabrechnung!H:H,D42,Projektabrechnung!P:P)</f>
        <v/>
      </c>
      <c r="G42" s="26" t="inlineStr">
        <is>
          <t>Januar</t>
        </is>
      </c>
      <c r="H42" s="27">
        <f>SUMPRODUCT((MONTH(Projektabrechnung!G3:G12)=1)*Projektabrechnung!P3:P12)</f>
        <v/>
      </c>
    </row>
    <row r="43">
      <c r="A43" s="26" t="inlineStr">
        <is>
          <t>Versendet</t>
        </is>
      </c>
      <c r="B43" s="26">
        <f>COUNTIF(Projektabrechnung!X:X,A43)</f>
        <v/>
      </c>
      <c r="D43" s="26" t="inlineStr">
        <is>
          <t>Softwareentwicklung</t>
        </is>
      </c>
      <c r="E43" s="27">
        <f>SUMIF(Projektabrechnung!H:H,D43,Projektabrechnung!P:P)</f>
        <v/>
      </c>
      <c r="G43" s="26" t="inlineStr">
        <is>
          <t>Februar</t>
        </is>
      </c>
      <c r="H43" s="27">
        <f>SUMPRODUCT((MONTH(Projektabrechnung!G3:G12)=2)*Projektabrechnung!P3:P12)</f>
        <v/>
      </c>
    </row>
    <row r="44">
      <c r="A44" s="26" t="inlineStr">
        <is>
          <t>Teilbezahlt</t>
        </is>
      </c>
      <c r="B44" s="26">
        <f>COUNTIF(Projektabrechnung!X:X,A44)</f>
        <v/>
      </c>
      <c r="D44" s="26" t="inlineStr">
        <is>
          <t>Projektmanagement</t>
        </is>
      </c>
      <c r="E44" s="27">
        <f>SUMIF(Projektabrechnung!H:H,D44,Projektabrechnung!P:P)</f>
        <v/>
      </c>
      <c r="G44" s="26" t="inlineStr">
        <is>
          <t>März</t>
        </is>
      </c>
      <c r="H44" s="27">
        <f>SUMPRODUCT((MONTH(Projektabrechnung!G3:G12)=3)*Projektabrechnung!P3:P12)</f>
        <v/>
      </c>
    </row>
    <row r="45">
      <c r="A45" s="26" t="inlineStr">
        <is>
          <t>Bezahlt</t>
        </is>
      </c>
      <c r="B45" s="26">
        <f>COUNTIF(Projektabrechnung!X:X,A45)</f>
        <v/>
      </c>
      <c r="D45" s="26" t="inlineStr">
        <is>
          <t>Design</t>
        </is>
      </c>
      <c r="E45" s="27">
        <f>SUMIF(Projektabrechnung!H:H,D45,Projektabrechnung!P:P)</f>
        <v/>
      </c>
      <c r="G45" s="26" t="inlineStr">
        <is>
          <t>April</t>
        </is>
      </c>
      <c r="H45" s="27">
        <f>SUMPRODUCT((MONTH(Projektabrechnung!G3:G12)=4)*Projektabrechnung!P3:P12)</f>
        <v/>
      </c>
    </row>
    <row r="46">
      <c r="D46" s="26" t="inlineStr">
        <is>
          <t>Schulung</t>
        </is>
      </c>
      <c r="E46" s="27">
        <f>SUMIF(Projektabrechnung!H:H,D46,Projektabrechnung!P:P)</f>
        <v/>
      </c>
      <c r="G46" s="26" t="inlineStr">
        <is>
          <t>Mai</t>
        </is>
      </c>
      <c r="H46" s="27">
        <f>SUMPRODUCT((MONTH(Projektabrechnung!G3:G12)=5)*Projektabrechnung!P3:P12)</f>
        <v/>
      </c>
    </row>
    <row r="47">
      <c r="D47" s="26" t="inlineStr">
        <is>
          <t>Implementierung</t>
        </is>
      </c>
      <c r="E47" s="27">
        <f>SUMIF(Projektabrechnung!H:H,D47,Projektabrechnung!P:P)</f>
        <v/>
      </c>
      <c r="G47" s="26" t="inlineStr">
        <is>
          <t>Juni</t>
        </is>
      </c>
      <c r="H47" s="27">
        <f>SUMPRODUCT((MONTH(Projektabrechnung!G3:G12)=6)*Projektabrechnung!P3:P12)</f>
        <v/>
      </c>
    </row>
    <row r="48">
      <c r="G48" s="26" t="inlineStr">
        <is>
          <t>Juli</t>
        </is>
      </c>
      <c r="H48" s="27">
        <f>SUMPRODUCT((MONTH(Projektabrechnung!G3:G12)=7)*Projektabrechnung!P3:P12)</f>
        <v/>
      </c>
    </row>
  </sheetData>
  <mergeCells count="21">
    <mergeCell ref="A1:H1"/>
    <mergeCell ref="A3:B3"/>
    <mergeCell ref="A4:B4"/>
    <mergeCell ref="D3:E3"/>
    <mergeCell ref="D4:E4"/>
    <mergeCell ref="A6:B6"/>
    <mergeCell ref="A7:B7"/>
    <mergeCell ref="D6:E6"/>
    <mergeCell ref="D7:E7"/>
    <mergeCell ref="A9:B9"/>
    <mergeCell ref="A10:B10"/>
    <mergeCell ref="D9:E9"/>
    <mergeCell ref="D10:E10"/>
    <mergeCell ref="A12:B12"/>
    <mergeCell ref="A13:B13"/>
    <mergeCell ref="D12:E12"/>
    <mergeCell ref="D13:E13"/>
    <mergeCell ref="A15:B15"/>
    <mergeCell ref="A16:B16"/>
    <mergeCell ref="D15:E15"/>
    <mergeCell ref="D16:E16"/>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22" customWidth="1" min="1" max="1"/>
    <col width="110" customWidth="1" min="2" max="2"/>
  </cols>
  <sheetData>
    <row r="1" ht="24" customHeight="1">
      <c r="A1" s="18" t="inlineStr">
        <is>
          <t>Hinweise zur Arbeitsmappe</t>
        </is>
      </c>
    </row>
    <row r="2" ht="18" customHeight="1">
      <c r="A2" s="28" t="inlineStr">
        <is>
          <t>Blatt</t>
        </is>
      </c>
      <c r="B2" s="29" t="inlineStr">
        <is>
          <t>Beschreibung</t>
        </is>
      </c>
    </row>
    <row r="3" ht="30" customHeight="1">
      <c r="A3" s="30" t="inlineStr">
        <is>
          <t>Projektabrechnung</t>
        </is>
      </c>
      <c r="B3" s="31" t="inlineStr">
        <is>
          <t>Haupttabelle mit allen Abrechnungspositionen des Jahres 2026. Gelb hinterlegte Zellen sind manuelle Eingaben (Stunden, Stundensatz, Kosten, Rechnungsdaten, Status). Alle übrigen Spalten (Arbeitsleistung, Netto gesamt, USt., Brutto, Überfällig, Gewinnmarge) werden automatisch berechnet.</t>
        </is>
      </c>
    </row>
    <row r="4" ht="30" customHeight="1">
      <c r="A4" s="30" t="inlineStr">
        <is>
          <t>Projektübersicht</t>
        </is>
      </c>
      <c r="B4" s="32" t="inlineStr">
        <is>
          <t>Aggregierte Kennzahlen je Projekt: abgerechnete Beträge, offene Posten, Budgetauslastung und Anzahl offener bzw. überfälliger Rechnungen. Die Budgetauslastung ist farbcodiert: grün bis 80 %, gelb bis 100 %, rot über 100 %.</t>
        </is>
      </c>
    </row>
    <row r="5" ht="30" customHeight="1">
      <c r="A5" s="30" t="inlineStr">
        <is>
          <t>Dashboard</t>
        </is>
      </c>
      <c r="B5" s="31" t="inlineStr">
        <is>
          <t>KPI-Kacheln mit den wichtigsten Unternehmenskennzahlen sowie vier Diagramme: Netto-Umsatz je Projekt, Verteilung des Rechnungsstatus, Netto-Umsatz nach Leistungsart und Monatsverlauf. Die Hilfsdaten für die Diagramme stehen ab Zeile 40.</t>
        </is>
      </c>
    </row>
    <row r="6" ht="30" customHeight="1">
      <c r="A6" s="30" t="inlineStr">
        <is>
          <t>Rechnungsstatus</t>
        </is>
      </c>
      <c r="B6" s="32" t="inlineStr">
        <is>
          <t>Zulässige Werte in Spalte X: Entwurf, Versendet, Teilbezahlt, Bezahlt. Eine Rechnung gilt als überfällig, wenn sie nicht bezahlt ist und das Zahlungsziel überschritten wurde.</t>
        </is>
      </c>
    </row>
    <row r="7" ht="30" customHeight="1">
      <c r="A7" s="30" t="inlineStr">
        <is>
          <t>USt.-Satz</t>
        </is>
      </c>
      <c r="B7" s="31" t="inlineStr">
        <is>
          <t>Regelsatz 19 %. Der ermäßigte Satz 7 % ist in Position AB-2026-008 hinterlegt. Der Satz wird in Spalte Q pro Position eingetragen.</t>
        </is>
      </c>
    </row>
    <row r="8" ht="30" customHeight="1">
      <c r="A8" s="30" t="inlineStr">
        <is>
          <t>Formate</t>
        </is>
      </c>
      <c r="B8" s="32" t="inlineStr">
        <is>
          <t>Währungen: 1.234,56 € · Prozente: 0,0 % · Datumsangaben: TT.MM.JJJJ. Alle Formeln werden beim Öffnen automatisch berechnet.</t>
        </is>
      </c>
    </row>
  </sheetData>
  <mergeCells count="1">
    <mergeCell ref="A1:D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2026-08-01T05:24:30Z</dcterms:created>
  <dcterms:modified xmlns:dcterms="http://purl.org/dc/terms/" xmlns:xsi="http://www.w3.org/2001/XMLSchema-instance" xsi:type="dcterms:W3CDTF">2026-08-01T05:24:30Z</dcterms:modified>
</cp:coreProperties>
</file>